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istente Compras\Documents\ARCHIVOS\MAR 2022\CC MAR 22\"/>
    </mc:Choice>
  </mc:AlternateContent>
  <xr:revisionPtr revIDLastSave="0" documentId="13_ncr:1_{2F5FB23E-45DC-46F2-B548-8E014015EF36}" xr6:coauthVersionLast="47" xr6:coauthVersionMax="47" xr10:uidLastSave="{00000000-0000-0000-0000-000000000000}"/>
  <bookViews>
    <workbookView xWindow="-120" yWindow="-120" windowWidth="20730" windowHeight="11160" firstSheet="155" activeTab="159" xr2:uid="{566F8DA8-E441-4F75-B254-309E26217A10}"/>
  </bookViews>
  <sheets>
    <sheet name="ME-01112021-01" sheetId="8" r:id="rId1"/>
    <sheet name="ME-01112021-03" sheetId="9" r:id="rId2"/>
    <sheet name="SI-27102021-201" sheetId="10" r:id="rId3"/>
    <sheet name="ME-01112021-02" sheetId="11" r:id="rId4"/>
    <sheet name="IN-01112021-08" sheetId="13" r:id="rId5"/>
    <sheet name="ME-03112021-22" sheetId="14" r:id="rId6"/>
    <sheet name="ME-01112021-05" sheetId="15" r:id="rId7"/>
    <sheet name="ME-04112021-47" sheetId="16" r:id="rId8"/>
    <sheet name="BG-04112021-34" sheetId="17" r:id="rId9"/>
    <sheet name="ME-04112021-48" sheetId="18" r:id="rId10"/>
    <sheet name="ME-28102021-221" sheetId="19" r:id="rId11"/>
    <sheet name="ME-04112021-36" sheetId="20" r:id="rId12"/>
    <sheet name="ME-04112021-44" sheetId="21" r:id="rId13"/>
    <sheet name="ME-08112021-58" sheetId="22" r:id="rId14"/>
    <sheet name="IT-10112021-94" sheetId="23" r:id="rId15"/>
    <sheet name="ME-09112021-89" sheetId="24" r:id="rId16"/>
    <sheet name="PAPELERIA" sheetId="25" r:id="rId17"/>
    <sheet name="BG-10112021-96" sheetId="26" r:id="rId18"/>
    <sheet name="ME-10112021-99" sheetId="27" r:id="rId19"/>
    <sheet name="ME-15112021-121" sheetId="28" r:id="rId20"/>
    <sheet name="HS-11112021-108" sheetId="30" r:id="rId21"/>
    <sheet name="ME-11112021-103" sheetId="31" r:id="rId22"/>
    <sheet name="ME-11112021-112" sheetId="32" r:id="rId23"/>
    <sheet name="ME-15112021-138" sheetId="33" r:id="rId24"/>
    <sheet name="ME-16112021-24" sheetId="34" r:id="rId25"/>
    <sheet name="ME-16112021-105" sheetId="35" r:id="rId26"/>
    <sheet name="ME-18112021-162" sheetId="36" r:id="rId27"/>
    <sheet name="MA-19112021-170" sheetId="37" r:id="rId28"/>
    <sheet name="BG-19112021-168" sheetId="38" r:id="rId29"/>
    <sheet name="ME-18112021-163" sheetId="40" r:id="rId30"/>
    <sheet name="ME-19112021-176" sheetId="39" r:id="rId31"/>
    <sheet name="ME-19112021-176 (2)" sheetId="42" r:id="rId32"/>
    <sheet name="ME-22112021-181" sheetId="41" r:id="rId33"/>
    <sheet name="ME-22112021-179" sheetId="43" r:id="rId34"/>
    <sheet name="HS-22112021-182" sheetId="45" r:id="rId35"/>
    <sheet name="ME-22112021-190" sheetId="46" r:id="rId36"/>
    <sheet name="ME-22112021-178" sheetId="47" r:id="rId37"/>
    <sheet name="VE-23112021-251" sheetId="48" r:id="rId38"/>
    <sheet name="CT-29112021-234" sheetId="49" r:id="rId39"/>
    <sheet name="ME-29112021-247" sheetId="50" r:id="rId40"/>
    <sheet name="HS-25112021-227" sheetId="51" r:id="rId41"/>
    <sheet name="BG-01122021-03" sheetId="52" r:id="rId42"/>
    <sheet name="ME-29112021-248" sheetId="53" r:id="rId43"/>
    <sheet name="ME-29112021-249" sheetId="54" r:id="rId44"/>
    <sheet name="ME-22112021-178 (2)" sheetId="55" r:id="rId45"/>
    <sheet name="BG-01122021-02" sheetId="56" r:id="rId46"/>
    <sheet name="ME-22112021-190 (2)" sheetId="57" r:id="rId47"/>
    <sheet name="ME-06122021-22" sheetId="58" r:id="rId48"/>
    <sheet name="IN-02122021-18" sheetId="59" r:id="rId49"/>
    <sheet name="BG-06122021-23" sheetId="60" r:id="rId50"/>
    <sheet name="ME-06122021-21" sheetId="61" r:id="rId51"/>
    <sheet name="ME-07122021-41" sheetId="62" r:id="rId52"/>
    <sheet name="ME-07122021-40" sheetId="63" r:id="rId53"/>
    <sheet name="ME-09122021-47" sheetId="64" r:id="rId54"/>
    <sheet name="ME-09122021-46" sheetId="65" r:id="rId55"/>
    <sheet name="IN-09122021-70" sheetId="66" r:id="rId56"/>
    <sheet name="ME-13122021-81" sheetId="68" r:id="rId57"/>
    <sheet name="BG-13122021-80" sheetId="69" r:id="rId58"/>
    <sheet name="BG-13122021-79" sheetId="70" r:id="rId59"/>
    <sheet name="ME-22112021-178 (3)" sheetId="71" r:id="rId60"/>
    <sheet name="ME-10122021-74" sheetId="72" r:id="rId61"/>
    <sheet name="ME-13122021-80" sheetId="73" r:id="rId62"/>
    <sheet name="ME-07122021-38" sheetId="74" r:id="rId63"/>
    <sheet name="HS-13122021-77" sheetId="75" r:id="rId64"/>
    <sheet name="ME-15122021-102" sheetId="76" r:id="rId65"/>
    <sheet name="BG-14122021-88" sheetId="77" r:id="rId66"/>
    <sheet name="ME-17122021-131" sheetId="78" r:id="rId67"/>
    <sheet name="BG-18122021-137" sheetId="79" r:id="rId68"/>
    <sheet name="BG-18122021-138" sheetId="80" r:id="rId69"/>
    <sheet name="ME-17122021-132" sheetId="81" r:id="rId70"/>
    <sheet name="ME-20122021-154" sheetId="83" r:id="rId71"/>
    <sheet name="BG-23122021-169" sheetId="84" r:id="rId72"/>
    <sheet name="HS-21122021-160" sheetId="85" r:id="rId73"/>
    <sheet name="ME-27122021-203" sheetId="86" r:id="rId74"/>
    <sheet name="ME-27122021-189" sheetId="87" r:id="rId75"/>
    <sheet name="BG-27122021-186" sheetId="88" r:id="rId76"/>
    <sheet name="ME-27122021-199" sheetId="90" r:id="rId77"/>
    <sheet name="ME-27122021-188" sheetId="91" r:id="rId78"/>
    <sheet name="ME-04012022-14" sheetId="92" r:id="rId79"/>
    <sheet name="ME-07012022-50" sheetId="93" r:id="rId80"/>
    <sheet name="HS-07012022-34" sheetId="94" r:id="rId81"/>
    <sheet name="ME-07012022-48" sheetId="95" r:id="rId82"/>
    <sheet name="ME-07012022-49" sheetId="96" r:id="rId83"/>
    <sheet name="BG-10012022-54" sheetId="97" r:id="rId84"/>
    <sheet name="BG-10012022-55" sheetId="98" r:id="rId85"/>
    <sheet name="BG-10012022-57" sheetId="99" r:id="rId86"/>
    <sheet name="BG-10012022-57 (2)" sheetId="100" r:id="rId87"/>
    <sheet name="HS-07012022-34 (2)" sheetId="101" r:id="rId88"/>
    <sheet name="HS-12012022-75" sheetId="102" r:id="rId89"/>
    <sheet name="BG-17012022-98" sheetId="103" r:id="rId90"/>
    <sheet name="ME-13012022-83" sheetId="104" r:id="rId91"/>
    <sheet name="ME-12012022-72" sheetId="105" r:id="rId92"/>
    <sheet name="ME-13012022-84" sheetId="106" r:id="rId93"/>
    <sheet name="BG-18012022-127" sheetId="107" r:id="rId94"/>
    <sheet name="BG-17012022-106" sheetId="108" r:id="rId95"/>
    <sheet name="ME-19012022-136" sheetId="109" r:id="rId96"/>
    <sheet name="ME-17012022-100" sheetId="110" r:id="rId97"/>
    <sheet name="ME-14012022-94" sheetId="111" r:id="rId98"/>
    <sheet name="BG-17012022-97" sheetId="112" r:id="rId99"/>
    <sheet name="ME-17012022-100 (2)" sheetId="113" r:id="rId100"/>
    <sheet name="ME-19012022-136 (2)" sheetId="114" r:id="rId101"/>
    <sheet name="ME-14012022-96" sheetId="115" r:id="rId102"/>
    <sheet name="BG-24012022-163" sheetId="116" r:id="rId103"/>
    <sheet name="BG-20012022-145" sheetId="117" r:id="rId104"/>
    <sheet name="ME-24012022-160" sheetId="118" r:id="rId105"/>
    <sheet name="ME-24012022-162" sheetId="119" r:id="rId106"/>
    <sheet name="ME-26012022-199" sheetId="120" r:id="rId107"/>
    <sheet name="BG-26012022-200" sheetId="121" r:id="rId108"/>
    <sheet name="ME-27012022-203" sheetId="122" r:id="rId109"/>
    <sheet name="ME-24012022-73" sheetId="123" r:id="rId110"/>
    <sheet name="ME-24012022-160 (2)" sheetId="125" r:id="rId111"/>
    <sheet name="ME-27012022-205" sheetId="126" r:id="rId112"/>
    <sheet name="ME-27012022-204" sheetId="127" r:id="rId113"/>
    <sheet name="BG-01022022-008" sheetId="128" r:id="rId114"/>
    <sheet name="BG-01022022-007" sheetId="129" r:id="rId115"/>
    <sheet name="BG-07022022-26" sheetId="130" r:id="rId116"/>
    <sheet name="HS-04022022-25" sheetId="131" r:id="rId117"/>
    <sheet name="BG-07022022-27" sheetId="133" r:id="rId118"/>
    <sheet name="ME-08022022-41" sheetId="134" r:id="rId119"/>
    <sheet name="ME-08022022-42" sheetId="135" r:id="rId120"/>
    <sheet name="ME-08022022-54" sheetId="136" r:id="rId121"/>
    <sheet name="ME-07022022-55" sheetId="137" r:id="rId122"/>
    <sheet name="ME-08022022-41 (2)" sheetId="139" r:id="rId123"/>
    <sheet name="ME-10022022-71" sheetId="140" r:id="rId124"/>
    <sheet name="BG-10022022-56" sheetId="141" r:id="rId125"/>
    <sheet name="BG-15022022-74" sheetId="142" r:id="rId126"/>
    <sheet name="ME-15022022-82" sheetId="143" r:id="rId127"/>
    <sheet name="BG-15022022-90" sheetId="144" r:id="rId128"/>
    <sheet name="ME-10022022-83" sheetId="146" r:id="rId129"/>
    <sheet name="BG-15022022-85" sheetId="148" r:id="rId130"/>
    <sheet name="ME-15022022-81" sheetId="149" r:id="rId131"/>
    <sheet name="BG-18022022-99" sheetId="150" r:id="rId132"/>
    <sheet name="BG-21022022-118" sheetId="151" r:id="rId133"/>
    <sheet name="carrocería" sheetId="152" r:id="rId134"/>
    <sheet name="ME-23022022-136" sheetId="154" r:id="rId135"/>
    <sheet name="ME-21022022-125" sheetId="155" r:id="rId136"/>
    <sheet name="ME-21022022-126" sheetId="157" r:id="rId137"/>
    <sheet name="ME-24012022-162 (2)" sheetId="158" r:id="rId138"/>
    <sheet name="ME-23022022-147" sheetId="159" r:id="rId139"/>
    <sheet name="ME-23022022-147 (2)" sheetId="160" r:id="rId140"/>
    <sheet name="ME-21022022-125 (2)" sheetId="161" r:id="rId141"/>
    <sheet name="HS-25022022-149" sheetId="162" r:id="rId142"/>
    <sheet name="ME-28022022-153" sheetId="163" r:id="rId143"/>
    <sheet name="ME-01032022-009" sheetId="165" r:id="rId144"/>
    <sheet name="BG-24022022-159" sheetId="167" r:id="rId145"/>
    <sheet name="BG-04032022-17" sheetId="169" r:id="rId146"/>
    <sheet name="ME-01032022-07" sheetId="164" r:id="rId147"/>
    <sheet name="ME-01032022-07 (2)" sheetId="170" r:id="rId148"/>
    <sheet name="ME-08032022-38" sheetId="171" r:id="rId149"/>
    <sheet name="BG-04032022-20" sheetId="172" r:id="rId150"/>
    <sheet name="ME-08032022-60" sheetId="173" r:id="rId151"/>
    <sheet name="ME-09032022-56" sheetId="174" r:id="rId152"/>
    <sheet name="ME-07032022-41" sheetId="175" r:id="rId153"/>
    <sheet name="ME-07032022-24" sheetId="176" r:id="rId154"/>
    <sheet name="ME-11032022-62" sheetId="177" r:id="rId155"/>
    <sheet name="ME-11032022-66" sheetId="179" r:id="rId156"/>
    <sheet name="HS-10032022-91" sheetId="180" r:id="rId157"/>
    <sheet name="ME-16032022-96" sheetId="181" r:id="rId158"/>
    <sheet name="BG-11032022-82" sheetId="182" r:id="rId159"/>
    <sheet name="Hoja3" sheetId="183" r:id="rId160"/>
    <sheet name="TC" sheetId="12" r:id="rId161"/>
    <sheet name="CC 5A 3P" sheetId="7" r:id="rId162"/>
    <sheet name="TIPO DE CAMBIO" sheetId="2" state="hidden" r:id="rId163"/>
  </sheets>
  <externalReferences>
    <externalReference r:id="rId16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1" i="183" l="1"/>
  <c r="G20" i="183"/>
  <c r="F20" i="183"/>
  <c r="F19" i="183"/>
  <c r="F12" i="183"/>
  <c r="F10" i="183"/>
  <c r="F8" i="183"/>
  <c r="F7" i="183"/>
  <c r="F6" i="183"/>
  <c r="F5" i="183"/>
  <c r="F4" i="183"/>
  <c r="I10" i="182"/>
  <c r="I12" i="182"/>
  <c r="I13" i="182"/>
  <c r="J9" i="182"/>
  <c r="G10" i="182"/>
  <c r="H9" i="182"/>
  <c r="E8" i="182"/>
  <c r="F8" i="182" s="1"/>
  <c r="E6" i="182"/>
  <c r="F6" i="182" s="1"/>
  <c r="H6" i="182"/>
  <c r="H8" i="182"/>
  <c r="H7" i="182"/>
  <c r="H6" i="181"/>
  <c r="G7" i="181" s="1"/>
  <c r="G10" i="181" s="1"/>
  <c r="F6" i="181"/>
  <c r="E7" i="181" s="1"/>
  <c r="E10" i="181" s="1"/>
  <c r="H6" i="180"/>
  <c r="I6" i="180" s="1"/>
  <c r="H7" i="180" s="1"/>
  <c r="G7" i="174"/>
  <c r="G8" i="174"/>
  <c r="F6" i="174"/>
  <c r="G6" i="174" s="1"/>
  <c r="D8" i="174"/>
  <c r="E8" i="174" s="1"/>
  <c r="D7" i="174"/>
  <c r="E7" i="174" s="1"/>
  <c r="D6" i="174"/>
  <c r="E6" i="174" s="1"/>
  <c r="G6" i="180"/>
  <c r="F6" i="180"/>
  <c r="K6" i="180"/>
  <c r="J7" i="180" s="1"/>
  <c r="E6" i="180"/>
  <c r="D7" i="180" s="1"/>
  <c r="K9" i="179"/>
  <c r="D10" i="179"/>
  <c r="E10" i="179" s="1"/>
  <c r="D9" i="179"/>
  <c r="E9" i="179" s="1"/>
  <c r="K10" i="179"/>
  <c r="J11" i="179" s="1"/>
  <c r="I10" i="179"/>
  <c r="H11" i="179" s="1"/>
  <c r="G9" i="179"/>
  <c r="F11" i="179" s="1"/>
  <c r="E6" i="177"/>
  <c r="I7" i="177"/>
  <c r="I10" i="177" s="1"/>
  <c r="G7" i="177"/>
  <c r="G9" i="177" s="1"/>
  <c r="L6" i="177"/>
  <c r="K7" i="177" s="1"/>
  <c r="F6" i="177"/>
  <c r="E7" i="177" s="1"/>
  <c r="L12" i="175"/>
  <c r="K9" i="175"/>
  <c r="K12" i="175"/>
  <c r="K11" i="175"/>
  <c r="L11" i="175" s="1"/>
  <c r="K10" i="175"/>
  <c r="L10" i="175" s="1"/>
  <c r="L9" i="175"/>
  <c r="I10" i="176"/>
  <c r="F9" i="176"/>
  <c r="G9" i="176" s="1"/>
  <c r="D10" i="176"/>
  <c r="D9" i="176"/>
  <c r="H11" i="176"/>
  <c r="H13" i="176" s="1"/>
  <c r="K10" i="176"/>
  <c r="E10" i="176"/>
  <c r="E9" i="176"/>
  <c r="I11" i="175"/>
  <c r="J11" i="175" s="1"/>
  <c r="I10" i="175"/>
  <c r="J10" i="175" s="1"/>
  <c r="I12" i="175"/>
  <c r="J12" i="175" s="1"/>
  <c r="I9" i="175"/>
  <c r="J9" i="175" s="1"/>
  <c r="H11" i="175"/>
  <c r="H10" i="175"/>
  <c r="D9" i="175"/>
  <c r="E9" i="175" s="1"/>
  <c r="H12" i="175"/>
  <c r="J6" i="174"/>
  <c r="K6" i="174" s="1"/>
  <c r="H6" i="174"/>
  <c r="I6" i="174" s="1"/>
  <c r="M8" i="174"/>
  <c r="N8" i="174" s="1"/>
  <c r="M7" i="174"/>
  <c r="N7" i="174" s="1"/>
  <c r="M6" i="174"/>
  <c r="N6" i="174" s="1"/>
  <c r="K8" i="174"/>
  <c r="K7" i="174"/>
  <c r="I7" i="173"/>
  <c r="I10" i="173" s="1"/>
  <c r="G7" i="173"/>
  <c r="G9" i="173" s="1"/>
  <c r="G10" i="173" s="1"/>
  <c r="L6" i="173"/>
  <c r="K7" i="173" s="1"/>
  <c r="F6" i="173"/>
  <c r="E7" i="173" s="1"/>
  <c r="E7" i="172"/>
  <c r="F7" i="172" s="1"/>
  <c r="E8" i="172" s="1"/>
  <c r="I7" i="172"/>
  <c r="J7" i="172" s="1"/>
  <c r="I8" i="172" s="1"/>
  <c r="H7" i="172"/>
  <c r="G8" i="172" s="1"/>
  <c r="K22" i="171"/>
  <c r="K21" i="171"/>
  <c r="H23" i="171"/>
  <c r="I23" i="171" s="1"/>
  <c r="H24" i="171" s="1"/>
  <c r="K23" i="171"/>
  <c r="G23" i="171"/>
  <c r="E23" i="171"/>
  <c r="G22" i="171"/>
  <c r="D4" i="171"/>
  <c r="E4" i="171" s="1"/>
  <c r="I12" i="171"/>
  <c r="G7" i="171"/>
  <c r="G11" i="171"/>
  <c r="E11" i="171"/>
  <c r="I10" i="171"/>
  <c r="G10" i="171"/>
  <c r="E10" i="171"/>
  <c r="I9" i="171"/>
  <c r="G9" i="171"/>
  <c r="E9" i="171"/>
  <c r="I8" i="171"/>
  <c r="G8" i="171"/>
  <c r="E8" i="171"/>
  <c r="I7" i="171"/>
  <c r="G6" i="171"/>
  <c r="E6" i="171"/>
  <c r="G5" i="171"/>
  <c r="E5" i="171"/>
  <c r="G4" i="171"/>
  <c r="D6" i="170"/>
  <c r="E6" i="170" s="1"/>
  <c r="H7" i="170"/>
  <c r="H10" i="170" s="1"/>
  <c r="J6" i="170"/>
  <c r="K6" i="170" s="1"/>
  <c r="J7" i="170" s="1"/>
  <c r="J8" i="169"/>
  <c r="I9" i="169" s="1"/>
  <c r="H8" i="169"/>
  <c r="H7" i="169"/>
  <c r="F7" i="169"/>
  <c r="H6" i="169"/>
  <c r="F6" i="169"/>
  <c r="I9" i="167"/>
  <c r="J9" i="167" s="1"/>
  <c r="H9" i="167"/>
  <c r="G10" i="167" s="1"/>
  <c r="E9" i="167"/>
  <c r="F9" i="167" s="1"/>
  <c r="E10" i="167" s="1"/>
  <c r="H17" i="165"/>
  <c r="I17" i="165" s="1"/>
  <c r="H18" i="165" s="1"/>
  <c r="G17" i="165"/>
  <c r="F18" i="165" s="1"/>
  <c r="E17" i="165"/>
  <c r="D18" i="165" s="1"/>
  <c r="K9" i="165"/>
  <c r="J10" i="165" s="1"/>
  <c r="H9" i="165"/>
  <c r="I9" i="165" s="1"/>
  <c r="H10" i="165" s="1"/>
  <c r="G9" i="165"/>
  <c r="F10" i="165" s="1"/>
  <c r="E9" i="165"/>
  <c r="D10" i="165" s="1"/>
  <c r="F12" i="164"/>
  <c r="G12" i="164" s="1"/>
  <c r="F11" i="164"/>
  <c r="G11" i="164" s="1"/>
  <c r="J9" i="164"/>
  <c r="K9" i="164" s="1"/>
  <c r="J10" i="164"/>
  <c r="K10" i="164" s="1"/>
  <c r="D10" i="164"/>
  <c r="E10" i="164" s="1"/>
  <c r="D9" i="164"/>
  <c r="E9" i="164" s="1"/>
  <c r="K12" i="164"/>
  <c r="I12" i="164"/>
  <c r="K11" i="164"/>
  <c r="I11" i="164"/>
  <c r="H6" i="163"/>
  <c r="I6" i="163" s="1"/>
  <c r="H7" i="163" s="1"/>
  <c r="K17" i="162"/>
  <c r="K18" i="162"/>
  <c r="K16" i="162"/>
  <c r="K12" i="162"/>
  <c r="K13" i="162"/>
  <c r="K14" i="162"/>
  <c r="K11" i="162"/>
  <c r="K8" i="162"/>
  <c r="K9" i="162"/>
  <c r="K7" i="162"/>
  <c r="M20" i="162"/>
  <c r="M17" i="162"/>
  <c r="M18" i="162"/>
  <c r="M16" i="162"/>
  <c r="M12" i="162"/>
  <c r="M13" i="162"/>
  <c r="M14" i="162"/>
  <c r="M11" i="162"/>
  <c r="G20" i="162"/>
  <c r="G17" i="162"/>
  <c r="G18" i="162"/>
  <c r="G16" i="162"/>
  <c r="G12" i="162"/>
  <c r="G13" i="162"/>
  <c r="G14" i="162"/>
  <c r="G11" i="162"/>
  <c r="G9" i="162"/>
  <c r="G7" i="162"/>
  <c r="G6" i="162"/>
  <c r="E10" i="182" l="1"/>
  <c r="E12" i="182" s="1"/>
  <c r="F7" i="180"/>
  <c r="F9" i="174"/>
  <c r="F11" i="174" s="1"/>
  <c r="F12" i="174" s="1"/>
  <c r="D9" i="174"/>
  <c r="D11" i="174" s="1"/>
  <c r="D12" i="174" s="1"/>
  <c r="H9" i="180"/>
  <c r="H10" i="180" s="1"/>
  <c r="F9" i="180"/>
  <c r="F10" i="180" s="1"/>
  <c r="J9" i="180"/>
  <c r="J10" i="180" s="1"/>
  <c r="D9" i="180"/>
  <c r="D10" i="180" s="1"/>
  <c r="H13" i="179"/>
  <c r="H14" i="179" s="1"/>
  <c r="F13" i="179"/>
  <c r="F14" i="179" s="1"/>
  <c r="D11" i="179"/>
  <c r="J14" i="179"/>
  <c r="K9" i="177"/>
  <c r="K10" i="177" s="1"/>
  <c r="E10" i="177"/>
  <c r="G10" i="177"/>
  <c r="H14" i="176"/>
  <c r="D11" i="176"/>
  <c r="D13" i="176" s="1"/>
  <c r="D14" i="176" s="1"/>
  <c r="J11" i="176"/>
  <c r="J13" i="176" s="1"/>
  <c r="J14" i="176" s="1"/>
  <c r="F11" i="176"/>
  <c r="I13" i="175"/>
  <c r="K13" i="175"/>
  <c r="D13" i="175"/>
  <c r="D15" i="175" s="1"/>
  <c r="D16" i="175" s="1"/>
  <c r="G13" i="175"/>
  <c r="H9" i="174"/>
  <c r="M9" i="174"/>
  <c r="M11" i="174" s="1"/>
  <c r="M12" i="174" s="1"/>
  <c r="J9" i="174"/>
  <c r="J11" i="174" s="1"/>
  <c r="J12" i="174" s="1"/>
  <c r="K9" i="173"/>
  <c r="K10" i="173" s="1"/>
  <c r="E9" i="173"/>
  <c r="E10" i="173" s="1"/>
  <c r="E10" i="172"/>
  <c r="E11" i="172" s="1"/>
  <c r="G10" i="172"/>
  <c r="G11" i="172" s="1"/>
  <c r="I10" i="172"/>
  <c r="I11" i="172" s="1"/>
  <c r="J24" i="171"/>
  <c r="J26" i="171" s="1"/>
  <c r="J27" i="171" s="1"/>
  <c r="F24" i="171"/>
  <c r="D24" i="171"/>
  <c r="D26" i="171" s="1"/>
  <c r="D27" i="171" s="1"/>
  <c r="H26" i="171"/>
  <c r="H27" i="171" s="1"/>
  <c r="H13" i="171"/>
  <c r="H15" i="171" s="1"/>
  <c r="H16" i="171" s="1"/>
  <c r="F13" i="171"/>
  <c r="F16" i="171" s="1"/>
  <c r="E7" i="171"/>
  <c r="D7" i="170"/>
  <c r="J9" i="170"/>
  <c r="J10" i="170" s="1"/>
  <c r="F7" i="170"/>
  <c r="D9" i="170"/>
  <c r="D10" i="170" s="1"/>
  <c r="E9" i="169"/>
  <c r="E11" i="169" s="1"/>
  <c r="G9" i="169"/>
  <c r="G11" i="169" s="1"/>
  <c r="G12" i="169" s="1"/>
  <c r="I11" i="169"/>
  <c r="I12" i="169" s="1"/>
  <c r="I10" i="167"/>
  <c r="E12" i="167"/>
  <c r="E13" i="167" s="1"/>
  <c r="G12" i="167"/>
  <c r="G13" i="167" s="1"/>
  <c r="I12" i="167"/>
  <c r="I13" i="167" s="1"/>
  <c r="F21" i="165"/>
  <c r="H20" i="165"/>
  <c r="H21" i="165" s="1"/>
  <c r="D20" i="165"/>
  <c r="D21" i="165" s="1"/>
  <c r="H12" i="165"/>
  <c r="H13" i="165" s="1"/>
  <c r="F12" i="165"/>
  <c r="F13" i="165" s="1"/>
  <c r="D12" i="165"/>
  <c r="D13" i="165" s="1"/>
  <c r="J12" i="165"/>
  <c r="J13" i="165" s="1"/>
  <c r="H13" i="164"/>
  <c r="H16" i="164" s="1"/>
  <c r="J13" i="164"/>
  <c r="J15" i="164" s="1"/>
  <c r="J16" i="164" s="1"/>
  <c r="D13" i="164"/>
  <c r="D15" i="164" s="1"/>
  <c r="D16" i="164" s="1"/>
  <c r="F13" i="164"/>
  <c r="H9" i="163"/>
  <c r="H10" i="163" s="1"/>
  <c r="K6" i="163"/>
  <c r="J7" i="163" s="1"/>
  <c r="J9" i="163" s="1"/>
  <c r="F6" i="163"/>
  <c r="G6" i="163" s="1"/>
  <c r="F7" i="163" s="1"/>
  <c r="F9" i="163" s="1"/>
  <c r="D6" i="163"/>
  <c r="E6" i="163" s="1"/>
  <c r="D7" i="163" s="1"/>
  <c r="D9" i="163" s="1"/>
  <c r="H20" i="162"/>
  <c r="I20" i="162" s="1"/>
  <c r="H17" i="162"/>
  <c r="I17" i="162" s="1"/>
  <c r="H18" i="162"/>
  <c r="I18" i="162" s="1"/>
  <c r="H16" i="162"/>
  <c r="I16" i="162" s="1"/>
  <c r="H12" i="162"/>
  <c r="I12" i="162" s="1"/>
  <c r="H13" i="162"/>
  <c r="I13" i="162" s="1"/>
  <c r="H14" i="162"/>
  <c r="I14" i="162" s="1"/>
  <c r="H11" i="162"/>
  <c r="I11" i="162" s="1"/>
  <c r="H9" i="162"/>
  <c r="I9" i="162" s="1"/>
  <c r="H8" i="162"/>
  <c r="I8" i="162" s="1"/>
  <c r="D17" i="162"/>
  <c r="E17" i="162" s="1"/>
  <c r="D16" i="162"/>
  <c r="E16" i="162" s="1"/>
  <c r="D14" i="162"/>
  <c r="E14" i="162" s="1"/>
  <c r="D13" i="162"/>
  <c r="E13" i="162" s="1"/>
  <c r="D12" i="162"/>
  <c r="E12" i="162" s="1"/>
  <c r="D11" i="162"/>
  <c r="E11" i="162" s="1"/>
  <c r="D7" i="162"/>
  <c r="E7" i="162" s="1"/>
  <c r="D6" i="162"/>
  <c r="E6" i="162" s="1"/>
  <c r="H6" i="161"/>
  <c r="G7" i="161" s="1"/>
  <c r="F6" i="161"/>
  <c r="E7" i="161" s="1"/>
  <c r="G9" i="160"/>
  <c r="E9" i="160"/>
  <c r="H6" i="160"/>
  <c r="G7" i="160" s="1"/>
  <c r="F6" i="160"/>
  <c r="E7" i="160" s="1"/>
  <c r="H6" i="159"/>
  <c r="G7" i="159" s="1"/>
  <c r="F6" i="159"/>
  <c r="E7" i="159" s="1"/>
  <c r="J6" i="158"/>
  <c r="I7" i="158" s="1"/>
  <c r="G10" i="158"/>
  <c r="G9" i="158"/>
  <c r="G6" i="158"/>
  <c r="H6" i="158" s="1"/>
  <c r="G7" i="158" s="1"/>
  <c r="F6" i="158"/>
  <c r="E7" i="158" s="1"/>
  <c r="F13" i="157"/>
  <c r="F12" i="157"/>
  <c r="K9" i="157"/>
  <c r="K8" i="157"/>
  <c r="K7" i="157"/>
  <c r="J7" i="157"/>
  <c r="J6" i="157"/>
  <c r="K6" i="157" s="1"/>
  <c r="F9" i="157"/>
  <c r="G9" i="157" s="1"/>
  <c r="F8" i="157"/>
  <c r="G8" i="157" s="1"/>
  <c r="D7" i="157"/>
  <c r="E7" i="157" s="1"/>
  <c r="D6" i="157"/>
  <c r="E6" i="157" s="1"/>
  <c r="I9" i="157"/>
  <c r="I8" i="157"/>
  <c r="F8" i="155"/>
  <c r="G8" i="155" s="1"/>
  <c r="D9" i="155"/>
  <c r="E9" i="155" s="1"/>
  <c r="D8" i="155"/>
  <c r="E8" i="155" s="1"/>
  <c r="D7" i="155"/>
  <c r="E7" i="155" s="1"/>
  <c r="J9" i="154"/>
  <c r="K9" i="154" s="1"/>
  <c r="J8" i="154"/>
  <c r="K8" i="154" s="1"/>
  <c r="J7" i="154"/>
  <c r="K7" i="154" s="1"/>
  <c r="D6" i="155"/>
  <c r="E6" i="155" s="1"/>
  <c r="G7" i="155"/>
  <c r="G6" i="155"/>
  <c r="J6" i="154"/>
  <c r="K6" i="154" s="1"/>
  <c r="I8" i="154"/>
  <c r="I7" i="154"/>
  <c r="I6" i="154"/>
  <c r="G11" i="182" l="1"/>
  <c r="G12" i="182" s="1"/>
  <c r="G13" i="182" s="1"/>
  <c r="E13" i="182"/>
  <c r="D13" i="179"/>
  <c r="D14" i="179" s="1"/>
  <c r="K15" i="175"/>
  <c r="K16" i="175" s="1"/>
  <c r="F13" i="176"/>
  <c r="F14" i="176" s="1"/>
  <c r="I15" i="175"/>
  <c r="I16" i="175" s="1"/>
  <c r="G16" i="175"/>
  <c r="H11" i="174"/>
  <c r="H12" i="174" s="1"/>
  <c r="F26" i="171"/>
  <c r="F27" i="171" s="1"/>
  <c r="D13" i="171"/>
  <c r="D15" i="171" s="1"/>
  <c r="D16" i="171" s="1"/>
  <c r="F9" i="170"/>
  <c r="F10" i="170" s="1"/>
  <c r="E12" i="169"/>
  <c r="F15" i="164"/>
  <c r="F16" i="164" s="1"/>
  <c r="J10" i="163"/>
  <c r="F10" i="163"/>
  <c r="D10" i="163"/>
  <c r="J21" i="162"/>
  <c r="J23" i="162" s="1"/>
  <c r="J24" i="162" s="1"/>
  <c r="F21" i="162"/>
  <c r="F23" i="162" s="1"/>
  <c r="F24" i="162" s="1"/>
  <c r="L21" i="162"/>
  <c r="L23" i="162" s="1"/>
  <c r="L24" i="162" s="1"/>
  <c r="H21" i="162"/>
  <c r="D21" i="162"/>
  <c r="G9" i="161"/>
  <c r="G10" i="161" s="1"/>
  <c r="E10" i="161"/>
  <c r="G10" i="160"/>
  <c r="E10" i="160"/>
  <c r="E10" i="159"/>
  <c r="G10" i="159"/>
  <c r="E9" i="158"/>
  <c r="E10" i="158" s="1"/>
  <c r="I9" i="158"/>
  <c r="I10" i="158" s="1"/>
  <c r="J10" i="157"/>
  <c r="J12" i="157" s="1"/>
  <c r="J13" i="157" s="1"/>
  <c r="H10" i="157"/>
  <c r="F10" i="157"/>
  <c r="D10" i="157"/>
  <c r="D12" i="157" s="1"/>
  <c r="D13" i="157" s="1"/>
  <c r="H13" i="157"/>
  <c r="F10" i="155"/>
  <c r="F12" i="155" s="1"/>
  <c r="F13" i="155" s="1"/>
  <c r="D10" i="155"/>
  <c r="D12" i="155" s="1"/>
  <c r="D13" i="155" s="1"/>
  <c r="D9" i="154"/>
  <c r="D8" i="154"/>
  <c r="D7" i="154"/>
  <c r="E7" i="154" s="1"/>
  <c r="D6" i="154"/>
  <c r="E6" i="154" s="1"/>
  <c r="E9" i="154"/>
  <c r="E8" i="154"/>
  <c r="I9" i="154"/>
  <c r="H10" i="154" s="1"/>
  <c r="G9" i="154"/>
  <c r="G8" i="154"/>
  <c r="G7" i="154"/>
  <c r="G6" i="154"/>
  <c r="B8" i="152"/>
  <c r="C7" i="152"/>
  <c r="C8" i="152" s="1"/>
  <c r="C9" i="152" s="1"/>
  <c r="C10" i="152" s="1"/>
  <c r="C11" i="152" s="1"/>
  <c r="K12" i="151"/>
  <c r="L9" i="151"/>
  <c r="J9" i="151"/>
  <c r="I10" i="151" s="1"/>
  <c r="H9" i="151"/>
  <c r="L8" i="151"/>
  <c r="H8" i="151"/>
  <c r="H7" i="151"/>
  <c r="F7" i="151"/>
  <c r="H6" i="151"/>
  <c r="F6" i="151"/>
  <c r="G6" i="150"/>
  <c r="H6" i="150" s="1"/>
  <c r="G7" i="150" s="1"/>
  <c r="I6" i="150"/>
  <c r="J6" i="150" s="1"/>
  <c r="I7" i="150" s="1"/>
  <c r="F6" i="150"/>
  <c r="E7" i="150" s="1"/>
  <c r="F7" i="149"/>
  <c r="G7" i="149" s="1"/>
  <c r="F8" i="149"/>
  <c r="G8" i="149" s="1"/>
  <c r="I8" i="149"/>
  <c r="I7" i="149"/>
  <c r="I6" i="149"/>
  <c r="K8" i="149"/>
  <c r="J8" i="149"/>
  <c r="D7" i="149"/>
  <c r="E7" i="149" s="1"/>
  <c r="D6" i="149"/>
  <c r="E6" i="149" s="1"/>
  <c r="D4" i="149"/>
  <c r="E4" i="149"/>
  <c r="J9" i="149"/>
  <c r="H6" i="148"/>
  <c r="I6" i="148" s="1"/>
  <c r="H7" i="148" s="1"/>
  <c r="F6" i="148"/>
  <c r="G6" i="148" s="1"/>
  <c r="F7" i="148" s="1"/>
  <c r="E6" i="148"/>
  <c r="D7" i="148" s="1"/>
  <c r="M12" i="144"/>
  <c r="K29" i="144"/>
  <c r="J27" i="144"/>
  <c r="K27" i="144" s="1"/>
  <c r="K25" i="144"/>
  <c r="J11" i="144"/>
  <c r="K11" i="144" s="1"/>
  <c r="J10" i="144"/>
  <c r="K10" i="144" s="1"/>
  <c r="K32" i="144"/>
  <c r="K31" i="144"/>
  <c r="K30" i="144"/>
  <c r="K28" i="144"/>
  <c r="K26" i="144"/>
  <c r="K24" i="144"/>
  <c r="K23" i="144"/>
  <c r="K22" i="144"/>
  <c r="K20" i="144"/>
  <c r="K19" i="144"/>
  <c r="K18" i="144"/>
  <c r="K17" i="144"/>
  <c r="K16" i="144"/>
  <c r="K15" i="144"/>
  <c r="K9" i="144"/>
  <c r="K8" i="144"/>
  <c r="K7" i="144"/>
  <c r="K6" i="144"/>
  <c r="K4" i="144"/>
  <c r="L28" i="144"/>
  <c r="M28" i="144" s="1"/>
  <c r="L27" i="144"/>
  <c r="M27" i="144" s="1"/>
  <c r="H34" i="144"/>
  <c r="E18" i="146"/>
  <c r="F18" i="146" s="1"/>
  <c r="I9" i="146"/>
  <c r="J9" i="146" s="1"/>
  <c r="I8" i="146"/>
  <c r="J8" i="146" s="1"/>
  <c r="I7" i="146"/>
  <c r="J7" i="146" s="1"/>
  <c r="G10" i="146"/>
  <c r="G12" i="146" s="1"/>
  <c r="G13" i="146" s="1"/>
  <c r="H9" i="146"/>
  <c r="H7" i="146"/>
  <c r="E9" i="146"/>
  <c r="F9" i="146" s="1"/>
  <c r="E7" i="146"/>
  <c r="F7" i="146" s="1"/>
  <c r="G19" i="146"/>
  <c r="G21" i="146" s="1"/>
  <c r="G22" i="146" s="1"/>
  <c r="I19" i="146"/>
  <c r="I21" i="146" s="1"/>
  <c r="I22" i="146" s="1"/>
  <c r="H17" i="146"/>
  <c r="F17" i="146"/>
  <c r="E19" i="146" s="1"/>
  <c r="L34" i="144"/>
  <c r="M32" i="144"/>
  <c r="I32" i="144"/>
  <c r="G32" i="144"/>
  <c r="E32" i="144"/>
  <c r="M31" i="144"/>
  <c r="I31" i="144"/>
  <c r="G31" i="144"/>
  <c r="E31" i="144"/>
  <c r="M30" i="144"/>
  <c r="I30" i="144"/>
  <c r="G30" i="144"/>
  <c r="E30" i="144"/>
  <c r="M29" i="144"/>
  <c r="G29" i="144"/>
  <c r="E29" i="144"/>
  <c r="I28" i="144"/>
  <c r="G28" i="144"/>
  <c r="E28" i="144"/>
  <c r="I27" i="144"/>
  <c r="G27" i="144"/>
  <c r="E27" i="144"/>
  <c r="M26" i="144"/>
  <c r="I26" i="144"/>
  <c r="G26" i="144"/>
  <c r="E26" i="144"/>
  <c r="M25" i="144"/>
  <c r="G25" i="144"/>
  <c r="E25" i="144"/>
  <c r="M24" i="144"/>
  <c r="I24" i="144"/>
  <c r="G24" i="144"/>
  <c r="E24" i="144"/>
  <c r="M23" i="144"/>
  <c r="I23" i="144"/>
  <c r="G23" i="144"/>
  <c r="E23" i="144"/>
  <c r="M22" i="144"/>
  <c r="I22" i="144"/>
  <c r="G22" i="144"/>
  <c r="E22" i="144"/>
  <c r="M21" i="144"/>
  <c r="I21" i="144"/>
  <c r="G21" i="144"/>
  <c r="E21" i="144"/>
  <c r="M20" i="144"/>
  <c r="I20" i="144"/>
  <c r="G20" i="144"/>
  <c r="E20" i="144"/>
  <c r="M19" i="144"/>
  <c r="I19" i="144"/>
  <c r="G19" i="144"/>
  <c r="E19" i="144"/>
  <c r="M18" i="144"/>
  <c r="I18" i="144"/>
  <c r="G18" i="144"/>
  <c r="E18" i="144"/>
  <c r="M17" i="144"/>
  <c r="I17" i="144"/>
  <c r="G17" i="144"/>
  <c r="E17" i="144"/>
  <c r="M16" i="144"/>
  <c r="I16" i="144"/>
  <c r="G16" i="144"/>
  <c r="E16" i="144"/>
  <c r="M15" i="144"/>
  <c r="I15" i="144"/>
  <c r="G15" i="144"/>
  <c r="E15" i="144"/>
  <c r="M14" i="144"/>
  <c r="I14" i="144"/>
  <c r="G14" i="144"/>
  <c r="E14" i="144"/>
  <c r="M13" i="144"/>
  <c r="G13" i="144"/>
  <c r="E13" i="144"/>
  <c r="I12" i="144"/>
  <c r="G12" i="144"/>
  <c r="E12" i="144"/>
  <c r="M11" i="144"/>
  <c r="I11" i="144"/>
  <c r="G11" i="144"/>
  <c r="E11" i="144"/>
  <c r="M10" i="144"/>
  <c r="I10" i="144"/>
  <c r="G10" i="144"/>
  <c r="E10" i="144"/>
  <c r="M9" i="144"/>
  <c r="I9" i="144"/>
  <c r="G9" i="144"/>
  <c r="E9" i="144"/>
  <c r="M8" i="144"/>
  <c r="I8" i="144"/>
  <c r="G8" i="144"/>
  <c r="E8" i="144"/>
  <c r="M7" i="144"/>
  <c r="I7" i="144"/>
  <c r="G7" i="144"/>
  <c r="E7" i="144"/>
  <c r="M6" i="144"/>
  <c r="I6" i="144"/>
  <c r="G6" i="144"/>
  <c r="E6" i="144"/>
  <c r="M5" i="144"/>
  <c r="I5" i="144"/>
  <c r="G5" i="144"/>
  <c r="E5" i="144"/>
  <c r="M4" i="144"/>
  <c r="I4" i="144"/>
  <c r="G4" i="144"/>
  <c r="E4" i="144"/>
  <c r="I4" i="143"/>
  <c r="J4" i="143" s="1"/>
  <c r="G4" i="143"/>
  <c r="H4" i="143" s="1"/>
  <c r="E4" i="143"/>
  <c r="F4" i="143" s="1"/>
  <c r="J8" i="143"/>
  <c r="H8" i="143"/>
  <c r="F8" i="143"/>
  <c r="J7" i="143"/>
  <c r="H7" i="143"/>
  <c r="F7" i="143"/>
  <c r="J6" i="143"/>
  <c r="H6" i="143"/>
  <c r="F6" i="143"/>
  <c r="J5" i="143"/>
  <c r="H5" i="143"/>
  <c r="F5" i="143"/>
  <c r="J10" i="142"/>
  <c r="H10" i="142"/>
  <c r="F10" i="142"/>
  <c r="J9" i="142"/>
  <c r="H9" i="142"/>
  <c r="F9" i="142"/>
  <c r="J8" i="142"/>
  <c r="H8" i="142"/>
  <c r="F8" i="142"/>
  <c r="J7" i="142"/>
  <c r="H7" i="142"/>
  <c r="F7" i="142"/>
  <c r="J6" i="142"/>
  <c r="H6" i="142"/>
  <c r="F6" i="142"/>
  <c r="G4" i="141"/>
  <c r="F5" i="141" s="1"/>
  <c r="F8" i="141" s="1"/>
  <c r="E4" i="141"/>
  <c r="D5" i="141" s="1"/>
  <c r="J11" i="140"/>
  <c r="K11" i="140" s="1"/>
  <c r="J12" i="140"/>
  <c r="K12" i="140" s="1"/>
  <c r="J15" i="140"/>
  <c r="K15" i="140" s="1"/>
  <c r="J14" i="140"/>
  <c r="K14" i="140" s="1"/>
  <c r="J13" i="140"/>
  <c r="K13" i="140" s="1"/>
  <c r="J8" i="140"/>
  <c r="K8" i="140" s="1"/>
  <c r="F15" i="140"/>
  <c r="G15" i="140" s="1"/>
  <c r="F14" i="140"/>
  <c r="G14" i="140" s="1"/>
  <c r="F13" i="140"/>
  <c r="G13" i="140" s="1"/>
  <c r="F12" i="140"/>
  <c r="G12" i="140" s="1"/>
  <c r="F11" i="140"/>
  <c r="G11" i="140" s="1"/>
  <c r="D17" i="140"/>
  <c r="D16" i="140"/>
  <c r="E16" i="140" s="1"/>
  <c r="D11" i="140"/>
  <c r="E11" i="140" s="1"/>
  <c r="D12" i="140"/>
  <c r="E12" i="140" s="1"/>
  <c r="E17" i="140"/>
  <c r="D10" i="140"/>
  <c r="E10" i="140" s="1"/>
  <c r="D9" i="140"/>
  <c r="E9" i="140" s="1"/>
  <c r="D8" i="140"/>
  <c r="E8" i="140" s="1"/>
  <c r="D7" i="140"/>
  <c r="E7" i="140" s="1"/>
  <c r="D18" i="140" s="1"/>
  <c r="D20" i="140" s="1"/>
  <c r="D6" i="140"/>
  <c r="E6" i="140" s="1"/>
  <c r="I13" i="140"/>
  <c r="I14" i="140"/>
  <c r="I15" i="140"/>
  <c r="I16" i="140"/>
  <c r="I17" i="140"/>
  <c r="G16" i="140"/>
  <c r="G9" i="139"/>
  <c r="E9" i="139"/>
  <c r="G8" i="139"/>
  <c r="E8" i="139"/>
  <c r="G7" i="139"/>
  <c r="E7" i="139"/>
  <c r="G6" i="139"/>
  <c r="E6" i="139"/>
  <c r="G10" i="139"/>
  <c r="E10" i="146" l="1"/>
  <c r="H23" i="162"/>
  <c r="H24" i="162" s="1"/>
  <c r="D23" i="162"/>
  <c r="D24" i="162" s="1"/>
  <c r="D10" i="154"/>
  <c r="J10" i="154"/>
  <c r="J12" i="154" s="1"/>
  <c r="J13" i="154" s="1"/>
  <c r="F10" i="154"/>
  <c r="F12" i="154" s="1"/>
  <c r="F13" i="154" s="1"/>
  <c r="H12" i="154"/>
  <c r="H13" i="154" s="1"/>
  <c r="B9" i="152"/>
  <c r="B10" i="152" s="1"/>
  <c r="B11" i="152" s="1"/>
  <c r="K10" i="151"/>
  <c r="K13" i="151" s="1"/>
  <c r="G10" i="151"/>
  <c r="E10" i="151"/>
  <c r="E12" i="151" s="1"/>
  <c r="E13" i="151" s="1"/>
  <c r="I12" i="151"/>
  <c r="I13" i="151" s="1"/>
  <c r="G12" i="151"/>
  <c r="G13" i="151" s="1"/>
  <c r="G9" i="150"/>
  <c r="G10" i="150" s="1"/>
  <c r="E9" i="150"/>
  <c r="E10" i="150" s="1"/>
  <c r="I9" i="150"/>
  <c r="I10" i="150" s="1"/>
  <c r="F9" i="149"/>
  <c r="H9" i="149"/>
  <c r="H12" i="149" s="1"/>
  <c r="J11" i="149"/>
  <c r="J12" i="149" s="1"/>
  <c r="D9" i="149"/>
  <c r="D9" i="148"/>
  <c r="D10" i="148" s="1"/>
  <c r="F9" i="148"/>
  <c r="F10" i="148" s="1"/>
  <c r="H8" i="148"/>
  <c r="J35" i="144"/>
  <c r="L33" i="144"/>
  <c r="L35" i="144" s="1"/>
  <c r="H33" i="144"/>
  <c r="H35" i="144" s="1"/>
  <c r="D33" i="144"/>
  <c r="D35" i="144" s="1"/>
  <c r="F33" i="144"/>
  <c r="F35" i="144" s="1"/>
  <c r="I10" i="146"/>
  <c r="I12" i="146" s="1"/>
  <c r="I13" i="146" s="1"/>
  <c r="E12" i="146"/>
  <c r="E13" i="146" s="1"/>
  <c r="E21" i="146"/>
  <c r="E22" i="146" s="1"/>
  <c r="I9" i="143"/>
  <c r="I11" i="143" s="1"/>
  <c r="I12" i="143" s="1"/>
  <c r="E9" i="143"/>
  <c r="E11" i="143" s="1"/>
  <c r="E12" i="143" s="1"/>
  <c r="G9" i="143"/>
  <c r="E11" i="142"/>
  <c r="I11" i="142"/>
  <c r="G11" i="142"/>
  <c r="G14" i="142" s="1"/>
  <c r="E13" i="142"/>
  <c r="E14" i="142" s="1"/>
  <c r="I13" i="142"/>
  <c r="I14" i="142" s="1"/>
  <c r="D7" i="141"/>
  <c r="D8" i="141" s="1"/>
  <c r="H18" i="140"/>
  <c r="H21" i="140" s="1"/>
  <c r="D21" i="140"/>
  <c r="F18" i="140"/>
  <c r="F20" i="140" s="1"/>
  <c r="F21" i="140" s="1"/>
  <c r="J18" i="140"/>
  <c r="M10" i="139"/>
  <c r="K10" i="139"/>
  <c r="I10" i="139"/>
  <c r="E10" i="139"/>
  <c r="M9" i="139"/>
  <c r="K9" i="139"/>
  <c r="I9" i="139"/>
  <c r="M8" i="139"/>
  <c r="K8" i="139"/>
  <c r="I8" i="139"/>
  <c r="M7" i="139"/>
  <c r="K7" i="139"/>
  <c r="I7" i="139"/>
  <c r="K6" i="139"/>
  <c r="I6" i="139"/>
  <c r="M5" i="139"/>
  <c r="K5" i="139"/>
  <c r="I5" i="139"/>
  <c r="G5" i="139"/>
  <c r="E5" i="139"/>
  <c r="M4" i="139"/>
  <c r="K4" i="139"/>
  <c r="I4" i="139"/>
  <c r="G4" i="139"/>
  <c r="E4" i="139"/>
  <c r="E7" i="137"/>
  <c r="F7" i="137" s="1"/>
  <c r="E8" i="137"/>
  <c r="F8" i="137" s="1"/>
  <c r="H6" i="137"/>
  <c r="G6" i="137"/>
  <c r="E7" i="136"/>
  <c r="E9" i="136" s="1"/>
  <c r="H6" i="136"/>
  <c r="G7" i="136" s="1"/>
  <c r="G9" i="136" s="1"/>
  <c r="F6" i="136"/>
  <c r="F6" i="135"/>
  <c r="G6" i="135" s="1"/>
  <c r="F7" i="135" s="1"/>
  <c r="E6" i="135"/>
  <c r="D7" i="135" s="1"/>
  <c r="E9" i="134"/>
  <c r="F9" i="134" s="1"/>
  <c r="E8" i="134"/>
  <c r="F8" i="134" s="1"/>
  <c r="E7" i="134"/>
  <c r="F7" i="134" s="1"/>
  <c r="E6" i="134"/>
  <c r="F6" i="134" s="1"/>
  <c r="H9" i="134"/>
  <c r="H8" i="134"/>
  <c r="H7" i="134"/>
  <c r="H6" i="134"/>
  <c r="F7" i="133"/>
  <c r="G6" i="133"/>
  <c r="F6" i="133"/>
  <c r="E6" i="133"/>
  <c r="E7" i="133" s="1"/>
  <c r="D6" i="133"/>
  <c r="D7" i="133" s="1"/>
  <c r="D8" i="133" s="1"/>
  <c r="O13" i="131"/>
  <c r="O12" i="131"/>
  <c r="O11" i="131"/>
  <c r="G16" i="131"/>
  <c r="G17" i="131"/>
  <c r="G15" i="131"/>
  <c r="G6" i="131"/>
  <c r="L8" i="131"/>
  <c r="M8" i="131" s="1"/>
  <c r="L6" i="131"/>
  <c r="M6" i="131" s="1"/>
  <c r="J16" i="131"/>
  <c r="K16" i="131" s="1"/>
  <c r="J17" i="131"/>
  <c r="K17" i="131" s="1"/>
  <c r="J15" i="131"/>
  <c r="K15" i="131" s="1"/>
  <c r="J11" i="131"/>
  <c r="K11" i="131" s="1"/>
  <c r="J12" i="131"/>
  <c r="K12" i="131" s="1"/>
  <c r="J13" i="131"/>
  <c r="K13" i="131" s="1"/>
  <c r="J10" i="131"/>
  <c r="K10" i="131" s="1"/>
  <c r="J7" i="131"/>
  <c r="K7" i="131" s="1"/>
  <c r="J6" i="131"/>
  <c r="K6" i="131" s="1"/>
  <c r="H16" i="131"/>
  <c r="I16" i="131" s="1"/>
  <c r="H17" i="131"/>
  <c r="I17" i="131" s="1"/>
  <c r="H15" i="131"/>
  <c r="I15" i="131" s="1"/>
  <c r="H11" i="131"/>
  <c r="I11" i="131" s="1"/>
  <c r="H12" i="131"/>
  <c r="I12" i="131" s="1"/>
  <c r="H13" i="131"/>
  <c r="I13" i="131" s="1"/>
  <c r="H10" i="131"/>
  <c r="I10" i="131" s="1"/>
  <c r="H8" i="131"/>
  <c r="I8" i="131" s="1"/>
  <c r="H6" i="131"/>
  <c r="I6" i="131" s="1"/>
  <c r="D6" i="131"/>
  <c r="E6" i="131" s="1"/>
  <c r="D16" i="131"/>
  <c r="E16" i="131" s="1"/>
  <c r="D17" i="131"/>
  <c r="E17" i="131" s="1"/>
  <c r="D15" i="131"/>
  <c r="E15" i="131" s="1"/>
  <c r="D8" i="131"/>
  <c r="E8" i="131" s="1"/>
  <c r="J7" i="130"/>
  <c r="F7" i="130"/>
  <c r="G4" i="130"/>
  <c r="F5" i="130" s="1"/>
  <c r="F4" i="130"/>
  <c r="D7" i="130"/>
  <c r="D4" i="130"/>
  <c r="E4" i="130" s="1"/>
  <c r="D5" i="130" s="1"/>
  <c r="M4" i="130"/>
  <c r="L5" i="130" s="1"/>
  <c r="L8" i="130" s="1"/>
  <c r="K4" i="130"/>
  <c r="J5" i="130" s="1"/>
  <c r="I4" i="130"/>
  <c r="H5" i="130" s="1"/>
  <c r="D12" i="154" l="1"/>
  <c r="D13" i="154" s="1"/>
  <c r="F11" i="149"/>
  <c r="F12" i="149" s="1"/>
  <c r="D11" i="149"/>
  <c r="D12" i="149" s="1"/>
  <c r="H9" i="148"/>
  <c r="H10" i="148" s="1"/>
  <c r="G11" i="143"/>
  <c r="G12" i="143" s="1"/>
  <c r="J20" i="140"/>
  <c r="J21" i="140" s="1"/>
  <c r="D11" i="139"/>
  <c r="D13" i="139" s="1"/>
  <c r="D14" i="139" s="1"/>
  <c r="L11" i="139"/>
  <c r="L14" i="139" s="1"/>
  <c r="J11" i="139"/>
  <c r="J14" i="139" s="1"/>
  <c r="F11" i="139"/>
  <c r="H11" i="139"/>
  <c r="H14" i="139" s="1"/>
  <c r="E9" i="137"/>
  <c r="E11" i="137" s="1"/>
  <c r="E12" i="137" s="1"/>
  <c r="G9" i="137"/>
  <c r="G11" i="137" s="1"/>
  <c r="G12" i="137" s="1"/>
  <c r="D9" i="135"/>
  <c r="D10" i="135" s="1"/>
  <c r="F10" i="135"/>
  <c r="E10" i="134"/>
  <c r="E12" i="134" s="1"/>
  <c r="E13" i="134" s="1"/>
  <c r="G10" i="134"/>
  <c r="G12" i="134" s="1"/>
  <c r="F8" i="133"/>
  <c r="E8" i="133"/>
  <c r="G7" i="133"/>
  <c r="G8" i="133" s="1"/>
  <c r="J18" i="131"/>
  <c r="J20" i="131" s="1"/>
  <c r="J21" i="131" s="1"/>
  <c r="L18" i="131"/>
  <c r="L20" i="131" s="1"/>
  <c r="L21" i="131" s="1"/>
  <c r="F18" i="131"/>
  <c r="F20" i="131" s="1"/>
  <c r="F21" i="131" s="1"/>
  <c r="N18" i="131"/>
  <c r="N20" i="131" s="1"/>
  <c r="D18" i="131"/>
  <c r="H18" i="131"/>
  <c r="J8" i="130"/>
  <c r="F8" i="130"/>
  <c r="D8" i="130"/>
  <c r="H8" i="130"/>
  <c r="F10" i="129"/>
  <c r="F11" i="129"/>
  <c r="F12" i="129"/>
  <c r="F9" i="129"/>
  <c r="F5" i="129"/>
  <c r="F6" i="129"/>
  <c r="F7" i="129"/>
  <c r="G7" i="129" s="1"/>
  <c r="F8" i="129"/>
  <c r="G8" i="129" s="1"/>
  <c r="F4" i="129"/>
  <c r="G12" i="129"/>
  <c r="M12" i="129"/>
  <c r="K12" i="129"/>
  <c r="I12" i="129"/>
  <c r="E12" i="129"/>
  <c r="M11" i="129"/>
  <c r="K11" i="129"/>
  <c r="I11" i="129"/>
  <c r="G11" i="129"/>
  <c r="E11" i="129"/>
  <c r="M10" i="129"/>
  <c r="K10" i="129"/>
  <c r="I10" i="129"/>
  <c r="G10" i="129"/>
  <c r="E10" i="129"/>
  <c r="M9" i="129"/>
  <c r="K9" i="129"/>
  <c r="I9" i="129"/>
  <c r="G9" i="129"/>
  <c r="E9" i="129"/>
  <c r="M8" i="129"/>
  <c r="K8" i="129"/>
  <c r="I8" i="129"/>
  <c r="E8" i="129"/>
  <c r="M7" i="129"/>
  <c r="K7" i="129"/>
  <c r="I7" i="129"/>
  <c r="E7" i="129"/>
  <c r="K6" i="129"/>
  <c r="I6" i="129"/>
  <c r="G6" i="129"/>
  <c r="E6" i="129"/>
  <c r="M5" i="129"/>
  <c r="K5" i="129"/>
  <c r="I5" i="129"/>
  <c r="G5" i="129"/>
  <c r="E5" i="129"/>
  <c r="M4" i="129"/>
  <c r="K4" i="129"/>
  <c r="I4" i="129"/>
  <c r="G4" i="129"/>
  <c r="E4" i="129"/>
  <c r="G7" i="128"/>
  <c r="E7" i="128"/>
  <c r="G6" i="128"/>
  <c r="E6" i="128"/>
  <c r="M11" i="127"/>
  <c r="L11" i="127"/>
  <c r="M9" i="127"/>
  <c r="L9" i="127"/>
  <c r="M7" i="127"/>
  <c r="L7" i="127"/>
  <c r="M6" i="127"/>
  <c r="M4" i="127"/>
  <c r="J14" i="127"/>
  <c r="G7" i="127"/>
  <c r="G4" i="127"/>
  <c r="F12" i="127"/>
  <c r="F11" i="127"/>
  <c r="G11" i="127" s="1"/>
  <c r="F10" i="127"/>
  <c r="G10" i="127" s="1"/>
  <c r="F8" i="127"/>
  <c r="G8" i="127" s="1"/>
  <c r="F7" i="127"/>
  <c r="F6" i="127"/>
  <c r="F4" i="127"/>
  <c r="K11" i="127"/>
  <c r="E11" i="127"/>
  <c r="M10" i="127"/>
  <c r="K10" i="127"/>
  <c r="I10" i="127"/>
  <c r="E10" i="127"/>
  <c r="M8" i="127"/>
  <c r="K8" i="127"/>
  <c r="I8" i="127"/>
  <c r="E8" i="127"/>
  <c r="I6" i="127"/>
  <c r="G6" i="127"/>
  <c r="E6" i="127"/>
  <c r="M5" i="127"/>
  <c r="H9" i="126"/>
  <c r="H4" i="126"/>
  <c r="I4" i="126" s="1"/>
  <c r="F6" i="126"/>
  <c r="G6" i="126" s="1"/>
  <c r="F5" i="126"/>
  <c r="G5" i="126" s="1"/>
  <c r="L7" i="126"/>
  <c r="L10" i="126" s="1"/>
  <c r="K6" i="126"/>
  <c r="I6" i="126"/>
  <c r="E6" i="126"/>
  <c r="M5" i="126"/>
  <c r="K5" i="126"/>
  <c r="I5" i="126"/>
  <c r="E5" i="126"/>
  <c r="M4" i="126"/>
  <c r="K4" i="126"/>
  <c r="J7" i="126" s="1"/>
  <c r="J10" i="126" s="1"/>
  <c r="E4" i="126"/>
  <c r="G6" i="125"/>
  <c r="F6" i="125"/>
  <c r="F7" i="125" s="1"/>
  <c r="F8" i="125" s="1"/>
  <c r="E6" i="125"/>
  <c r="E7" i="123"/>
  <c r="F7" i="123" s="1"/>
  <c r="E6" i="123"/>
  <c r="F6" i="123" s="1"/>
  <c r="J7" i="123"/>
  <c r="H7" i="123"/>
  <c r="J6" i="123"/>
  <c r="H6" i="123"/>
  <c r="K12" i="122"/>
  <c r="J13" i="122" s="1"/>
  <c r="F12" i="122"/>
  <c r="G12" i="122" s="1"/>
  <c r="F13" i="122" s="1"/>
  <c r="I12" i="122"/>
  <c r="H13" i="122" s="1"/>
  <c r="E12" i="122"/>
  <c r="D13" i="122" s="1"/>
  <c r="F4" i="122"/>
  <c r="G4" i="122" s="1"/>
  <c r="F5" i="122" s="1"/>
  <c r="F7" i="122" s="1"/>
  <c r="D4" i="122"/>
  <c r="E4" i="122" s="1"/>
  <c r="D5" i="122" s="1"/>
  <c r="D7" i="122" s="1"/>
  <c r="I4" i="122"/>
  <c r="H5" i="122" s="1"/>
  <c r="H7" i="122" s="1"/>
  <c r="I4" i="121"/>
  <c r="H5" i="121" s="1"/>
  <c r="G4" i="121"/>
  <c r="F5" i="121" s="1"/>
  <c r="E4" i="121"/>
  <c r="D5" i="121" s="1"/>
  <c r="D8" i="121" s="1"/>
  <c r="F8" i="120"/>
  <c r="E8" i="120"/>
  <c r="G13" i="119"/>
  <c r="G12" i="119"/>
  <c r="G9" i="119"/>
  <c r="H9" i="119" s="1"/>
  <c r="G8" i="119"/>
  <c r="H8" i="119" s="1"/>
  <c r="G7" i="119"/>
  <c r="H7" i="119" s="1"/>
  <c r="G6" i="119"/>
  <c r="E13" i="119"/>
  <c r="E12" i="119"/>
  <c r="E9" i="119"/>
  <c r="F9" i="119" s="1"/>
  <c r="E8" i="119"/>
  <c r="E7" i="119"/>
  <c r="F7" i="119" s="1"/>
  <c r="E6" i="119"/>
  <c r="F8" i="119"/>
  <c r="H6" i="119"/>
  <c r="F6" i="119"/>
  <c r="F9" i="118"/>
  <c r="F7" i="118"/>
  <c r="H6" i="118"/>
  <c r="H4" i="118"/>
  <c r="I4" i="118" s="1"/>
  <c r="F4" i="118"/>
  <c r="D6" i="118"/>
  <c r="E6" i="118" s="1"/>
  <c r="D5" i="118"/>
  <c r="E5" i="118" s="1"/>
  <c r="D4" i="118"/>
  <c r="E4" i="118" s="1"/>
  <c r="K6" i="118"/>
  <c r="I6" i="118"/>
  <c r="G6" i="118"/>
  <c r="M5" i="118"/>
  <c r="K5" i="118"/>
  <c r="I5" i="118"/>
  <c r="G5" i="118"/>
  <c r="M4" i="118"/>
  <c r="K4" i="118"/>
  <c r="G4" i="118"/>
  <c r="E10" i="117"/>
  <c r="F10" i="117"/>
  <c r="F11" i="117" s="1"/>
  <c r="G10" i="117"/>
  <c r="G12" i="117" s="1"/>
  <c r="H10" i="117"/>
  <c r="H11" i="117" s="1"/>
  <c r="E11" i="117"/>
  <c r="E12" i="117" s="1"/>
  <c r="D10" i="117"/>
  <c r="D6" i="116"/>
  <c r="E6" i="116" s="1"/>
  <c r="F8" i="116"/>
  <c r="F7" i="116"/>
  <c r="G7" i="116" s="1"/>
  <c r="D8" i="116"/>
  <c r="E8" i="116" s="1"/>
  <c r="D7" i="116"/>
  <c r="E7" i="116" s="1"/>
  <c r="G8" i="116"/>
  <c r="G6" i="116"/>
  <c r="F9" i="116" s="1"/>
  <c r="H13" i="115"/>
  <c r="I13" i="115" s="1"/>
  <c r="H12" i="115"/>
  <c r="I12" i="115" s="1"/>
  <c r="H11" i="115"/>
  <c r="I11" i="115" s="1"/>
  <c r="H10" i="115"/>
  <c r="I10" i="115" s="1"/>
  <c r="H9" i="115"/>
  <c r="I9" i="115" s="1"/>
  <c r="H8" i="115"/>
  <c r="I8" i="115" s="1"/>
  <c r="H7" i="115"/>
  <c r="I7" i="115" s="1"/>
  <c r="H6" i="115"/>
  <c r="I6" i="115" s="1"/>
  <c r="H5" i="115"/>
  <c r="I5" i="115" s="1"/>
  <c r="H4" i="115"/>
  <c r="G6" i="115"/>
  <c r="D8" i="115"/>
  <c r="E8" i="115" s="1"/>
  <c r="D10" i="115"/>
  <c r="E10" i="115" s="1"/>
  <c r="D5" i="115"/>
  <c r="D7" i="115"/>
  <c r="E7" i="115" s="1"/>
  <c r="D11" i="115"/>
  <c r="E11" i="115" s="1"/>
  <c r="M11" i="115"/>
  <c r="M12" i="115"/>
  <c r="K11" i="115"/>
  <c r="K12" i="115"/>
  <c r="G11" i="115"/>
  <c r="E12" i="115"/>
  <c r="M13" i="115"/>
  <c r="K13" i="115"/>
  <c r="G13" i="115"/>
  <c r="E13" i="115"/>
  <c r="M10" i="115"/>
  <c r="K10" i="115"/>
  <c r="G10" i="115"/>
  <c r="M9" i="115"/>
  <c r="K9" i="115"/>
  <c r="G9" i="115"/>
  <c r="E9" i="115"/>
  <c r="M8" i="115"/>
  <c r="K8" i="115"/>
  <c r="G8" i="115"/>
  <c r="M7" i="115"/>
  <c r="K7" i="115"/>
  <c r="G7" i="115"/>
  <c r="K6" i="115"/>
  <c r="E6" i="115"/>
  <c r="M5" i="115"/>
  <c r="K5" i="115"/>
  <c r="G5" i="115"/>
  <c r="E5" i="115"/>
  <c r="M4" i="115"/>
  <c r="K4" i="115"/>
  <c r="I4" i="115"/>
  <c r="G4" i="115"/>
  <c r="F14" i="115" s="1"/>
  <c r="E4" i="115"/>
  <c r="E8" i="114"/>
  <c r="E9" i="114" s="1"/>
  <c r="E10" i="114" s="1"/>
  <c r="F8" i="114"/>
  <c r="F9" i="114" s="1"/>
  <c r="F10" i="114" s="1"/>
  <c r="D8" i="114"/>
  <c r="D6" i="113"/>
  <c r="E6" i="113"/>
  <c r="D7" i="113" s="1"/>
  <c r="G6" i="113"/>
  <c r="F6" i="113"/>
  <c r="H6" i="113"/>
  <c r="I6" i="113" s="1"/>
  <c r="H7" i="113" s="1"/>
  <c r="F7" i="113"/>
  <c r="H11" i="112"/>
  <c r="F6" i="112"/>
  <c r="D11" i="112"/>
  <c r="D10" i="112"/>
  <c r="D8" i="112"/>
  <c r="D7" i="112"/>
  <c r="D6" i="112"/>
  <c r="I8" i="112"/>
  <c r="E8" i="112"/>
  <c r="I7" i="112"/>
  <c r="E7" i="112"/>
  <c r="I6" i="112"/>
  <c r="G6" i="112"/>
  <c r="E6" i="112"/>
  <c r="D9" i="112" s="1"/>
  <c r="D8" i="110"/>
  <c r="E8" i="110"/>
  <c r="D9" i="110" s="1"/>
  <c r="D11" i="110" s="1"/>
  <c r="D12" i="110" s="1"/>
  <c r="I9" i="111"/>
  <c r="I8" i="111"/>
  <c r="I7" i="111"/>
  <c r="D6" i="111"/>
  <c r="E6" i="111" s="1"/>
  <c r="D5" i="111"/>
  <c r="E5" i="111" s="1"/>
  <c r="F9" i="111"/>
  <c r="G9" i="111" s="1"/>
  <c r="F8" i="111"/>
  <c r="G8" i="111" s="1"/>
  <c r="F7" i="111"/>
  <c r="G7" i="111" s="1"/>
  <c r="M9" i="111"/>
  <c r="K9" i="111"/>
  <c r="M8" i="111"/>
  <c r="K8" i="111"/>
  <c r="K7" i="111"/>
  <c r="M6" i="111"/>
  <c r="K6" i="111"/>
  <c r="M5" i="111"/>
  <c r="K5" i="111"/>
  <c r="H7" i="110"/>
  <c r="I7" i="110" s="1"/>
  <c r="H9" i="110" s="1"/>
  <c r="I8" i="110"/>
  <c r="H8" i="110"/>
  <c r="H6" i="110"/>
  <c r="D7" i="110"/>
  <c r="E7" i="110" s="1"/>
  <c r="D6" i="110"/>
  <c r="F7" i="110"/>
  <c r="G7" i="110" s="1"/>
  <c r="F6" i="110"/>
  <c r="G6" i="110" s="1"/>
  <c r="I6" i="110"/>
  <c r="E6" i="110"/>
  <c r="H8" i="109"/>
  <c r="E8" i="109"/>
  <c r="F8" i="109" s="1"/>
  <c r="E7" i="109"/>
  <c r="F7" i="109" s="1"/>
  <c r="E6" i="109"/>
  <c r="F6" i="109" s="1"/>
  <c r="H7" i="109"/>
  <c r="J6" i="109"/>
  <c r="H6" i="109"/>
  <c r="D6" i="108"/>
  <c r="E6" i="108" s="1"/>
  <c r="D7" i="108" s="1"/>
  <c r="F6" i="108"/>
  <c r="G6" i="108"/>
  <c r="F7" i="108" s="1"/>
  <c r="H6" i="107"/>
  <c r="I6" i="107" s="1"/>
  <c r="H7" i="107" s="1"/>
  <c r="F6" i="107"/>
  <c r="G6" i="107" s="1"/>
  <c r="F7" i="107" s="1"/>
  <c r="D6" i="107"/>
  <c r="E6" i="107" s="1"/>
  <c r="D7" i="107" s="1"/>
  <c r="K4" i="106"/>
  <c r="J8" i="106" s="1"/>
  <c r="J10" i="106" s="1"/>
  <c r="M4" i="106"/>
  <c r="K5" i="106"/>
  <c r="M5" i="106"/>
  <c r="K6" i="106"/>
  <c r="K7" i="106"/>
  <c r="M7" i="106"/>
  <c r="L8" i="106"/>
  <c r="L10" i="106" s="1"/>
  <c r="D8" i="105"/>
  <c r="E8" i="105" s="1"/>
  <c r="D7" i="105"/>
  <c r="E7" i="105" s="1"/>
  <c r="H4" i="106"/>
  <c r="I4" i="106" s="1"/>
  <c r="G6" i="106"/>
  <c r="D7" i="106"/>
  <c r="E7" i="106" s="1"/>
  <c r="D6" i="106"/>
  <c r="E6" i="106" s="1"/>
  <c r="D4" i="106"/>
  <c r="E4" i="106" s="1"/>
  <c r="G7" i="106"/>
  <c r="K4" i="105"/>
  <c r="J10" i="105" s="1"/>
  <c r="J12" i="105" s="1"/>
  <c r="M4" i="105"/>
  <c r="L10" i="105" s="1"/>
  <c r="L12" i="105" s="1"/>
  <c r="K5" i="105"/>
  <c r="M5" i="105"/>
  <c r="K6" i="105"/>
  <c r="K7" i="105"/>
  <c r="M7" i="105"/>
  <c r="K8" i="105"/>
  <c r="M8" i="105"/>
  <c r="K9" i="105"/>
  <c r="M9" i="105"/>
  <c r="F5" i="105"/>
  <c r="F4" i="105"/>
  <c r="D9" i="105"/>
  <c r="E9" i="105" s="1"/>
  <c r="D6" i="105"/>
  <c r="D5" i="105"/>
  <c r="E5" i="105" s="1"/>
  <c r="D4" i="105"/>
  <c r="E4" i="105" s="1"/>
  <c r="E6" i="105"/>
  <c r="I5" i="105"/>
  <c r="G5" i="105"/>
  <c r="I4" i="105"/>
  <c r="G4" i="105"/>
  <c r="K5" i="104"/>
  <c r="K6" i="104"/>
  <c r="K7" i="104"/>
  <c r="K8" i="104"/>
  <c r="K9" i="104"/>
  <c r="K10" i="104"/>
  <c r="K11" i="104"/>
  <c r="K4" i="104"/>
  <c r="L8" i="104"/>
  <c r="M8" i="104" s="1"/>
  <c r="M5" i="104"/>
  <c r="L11" i="104"/>
  <c r="L4" i="104"/>
  <c r="M4" i="104" s="1"/>
  <c r="F5" i="104"/>
  <c r="G5" i="104" s="1"/>
  <c r="F7" i="104"/>
  <c r="G7" i="104" s="1"/>
  <c r="F10" i="104"/>
  <c r="G10" i="104" s="1"/>
  <c r="F9" i="104"/>
  <c r="G9" i="104" s="1"/>
  <c r="F8" i="104"/>
  <c r="G8" i="104" s="1"/>
  <c r="F11" i="104"/>
  <c r="G11" i="104" s="1"/>
  <c r="F4" i="104"/>
  <c r="G4" i="104" s="1"/>
  <c r="D11" i="104"/>
  <c r="D8" i="104"/>
  <c r="E8" i="104"/>
  <c r="D7" i="104"/>
  <c r="D5" i="104"/>
  <c r="E5" i="104" s="1"/>
  <c r="D10" i="104"/>
  <c r="E10" i="104" s="1"/>
  <c r="D9" i="104"/>
  <c r="E7" i="104"/>
  <c r="D6" i="104"/>
  <c r="E6" i="104" s="1"/>
  <c r="D4" i="104"/>
  <c r="E4" i="104" s="1"/>
  <c r="M11" i="104"/>
  <c r="I11" i="104"/>
  <c r="E11" i="104"/>
  <c r="M10" i="104"/>
  <c r="I10" i="104"/>
  <c r="M9" i="104"/>
  <c r="I9" i="104"/>
  <c r="E9" i="104"/>
  <c r="I8" i="104"/>
  <c r="M7" i="104"/>
  <c r="I7" i="104"/>
  <c r="I5" i="104"/>
  <c r="I4" i="104"/>
  <c r="J8" i="103"/>
  <c r="L8" i="103"/>
  <c r="K9" i="103" s="1"/>
  <c r="K12" i="103" s="1"/>
  <c r="H8" i="103"/>
  <c r="F8" i="103"/>
  <c r="J7" i="103"/>
  <c r="H7" i="103"/>
  <c r="F7" i="103"/>
  <c r="J6" i="103"/>
  <c r="H6" i="103"/>
  <c r="F6" i="103"/>
  <c r="E9" i="103" s="1"/>
  <c r="G6" i="102"/>
  <c r="G7" i="102" s="1"/>
  <c r="G8" i="102" s="1"/>
  <c r="F6" i="102"/>
  <c r="F7" i="102" s="1"/>
  <c r="E8" i="102"/>
  <c r="E7" i="102"/>
  <c r="K6" i="101"/>
  <c r="L6" i="101" s="1"/>
  <c r="I9" i="101"/>
  <c r="I11" i="101" s="1"/>
  <c r="J7" i="101"/>
  <c r="E8" i="101"/>
  <c r="E7" i="101"/>
  <c r="F7" i="101" s="1"/>
  <c r="E6" i="101"/>
  <c r="F6" i="101" s="1"/>
  <c r="H8" i="101"/>
  <c r="F8" i="101"/>
  <c r="H6" i="101"/>
  <c r="L25" i="100"/>
  <c r="G33" i="100"/>
  <c r="G35" i="100" s="1"/>
  <c r="K34" i="100"/>
  <c r="L32" i="100"/>
  <c r="J32" i="100"/>
  <c r="H32" i="100"/>
  <c r="F32" i="100"/>
  <c r="L31" i="100"/>
  <c r="J31" i="100"/>
  <c r="H31" i="100"/>
  <c r="F31" i="100"/>
  <c r="L30" i="100"/>
  <c r="I30" i="100"/>
  <c r="J30" i="100" s="1"/>
  <c r="H30" i="100"/>
  <c r="F30" i="100"/>
  <c r="L29" i="100"/>
  <c r="J29" i="100"/>
  <c r="I29" i="100"/>
  <c r="H29" i="100"/>
  <c r="F29" i="100"/>
  <c r="L28" i="100"/>
  <c r="J28" i="100"/>
  <c r="H28" i="100"/>
  <c r="F28" i="100"/>
  <c r="L27" i="100"/>
  <c r="J27" i="100"/>
  <c r="H27" i="100"/>
  <c r="E27" i="100"/>
  <c r="F27" i="100" s="1"/>
  <c r="L26" i="100"/>
  <c r="J26" i="100"/>
  <c r="H26" i="100"/>
  <c r="F26" i="100"/>
  <c r="J25" i="100"/>
  <c r="H25" i="100"/>
  <c r="F25" i="100"/>
  <c r="L24" i="100"/>
  <c r="J24" i="100"/>
  <c r="H24" i="100"/>
  <c r="F24" i="100"/>
  <c r="L23" i="100"/>
  <c r="J23" i="100"/>
  <c r="H23" i="100"/>
  <c r="F23" i="100"/>
  <c r="L22" i="100"/>
  <c r="J22" i="100"/>
  <c r="H22" i="100"/>
  <c r="F22" i="100"/>
  <c r="L21" i="100"/>
  <c r="J21" i="100"/>
  <c r="H21" i="100"/>
  <c r="F21" i="100"/>
  <c r="L20" i="100"/>
  <c r="J20" i="100"/>
  <c r="H20" i="100"/>
  <c r="F20" i="100"/>
  <c r="L19" i="100"/>
  <c r="J19" i="100"/>
  <c r="H19" i="100"/>
  <c r="F19" i="100"/>
  <c r="L18" i="100"/>
  <c r="J18" i="100"/>
  <c r="H18" i="100"/>
  <c r="F18" i="100"/>
  <c r="L17" i="100"/>
  <c r="J17" i="100"/>
  <c r="H17" i="100"/>
  <c r="F17" i="100"/>
  <c r="L16" i="100"/>
  <c r="J16" i="100"/>
  <c r="H16" i="100"/>
  <c r="F16" i="100"/>
  <c r="L15" i="100"/>
  <c r="J15" i="100"/>
  <c r="H15" i="100"/>
  <c r="F15" i="100"/>
  <c r="L14" i="100"/>
  <c r="J14" i="100"/>
  <c r="H14" i="100"/>
  <c r="F14" i="100"/>
  <c r="L13" i="100"/>
  <c r="H13" i="100"/>
  <c r="F13" i="100"/>
  <c r="J12" i="100"/>
  <c r="H12" i="100"/>
  <c r="F12" i="100"/>
  <c r="L11" i="100"/>
  <c r="J11" i="100"/>
  <c r="H11" i="100"/>
  <c r="F11" i="100"/>
  <c r="L10" i="100"/>
  <c r="J10" i="100"/>
  <c r="H10" i="100"/>
  <c r="F10" i="100"/>
  <c r="L9" i="100"/>
  <c r="J9" i="100"/>
  <c r="H9" i="100"/>
  <c r="F9" i="100"/>
  <c r="L8" i="100"/>
  <c r="J8" i="100"/>
  <c r="H8" i="100"/>
  <c r="F8" i="100"/>
  <c r="L7" i="100"/>
  <c r="J7" i="100"/>
  <c r="H7" i="100"/>
  <c r="F7" i="100"/>
  <c r="L6" i="100"/>
  <c r="J6" i="100"/>
  <c r="H6" i="100"/>
  <c r="F6" i="100"/>
  <c r="L5" i="100"/>
  <c r="J5" i="100"/>
  <c r="H5" i="100"/>
  <c r="F5" i="100"/>
  <c r="L4" i="100"/>
  <c r="J4" i="100"/>
  <c r="I33" i="100" s="1"/>
  <c r="I35" i="100" s="1"/>
  <c r="H4" i="100"/>
  <c r="F4" i="100"/>
  <c r="K34" i="99"/>
  <c r="L5" i="99"/>
  <c r="L6" i="99"/>
  <c r="L7" i="99"/>
  <c r="L8" i="99"/>
  <c r="L9" i="99"/>
  <c r="L10" i="99"/>
  <c r="L11" i="99"/>
  <c r="L13" i="99"/>
  <c r="L14" i="99"/>
  <c r="L15" i="99"/>
  <c r="L16" i="99"/>
  <c r="L17" i="99"/>
  <c r="L18" i="99"/>
  <c r="L19" i="99"/>
  <c r="L20" i="99"/>
  <c r="L21" i="99"/>
  <c r="L22" i="99"/>
  <c r="L23" i="99"/>
  <c r="L24" i="99"/>
  <c r="L25" i="99"/>
  <c r="L26" i="99"/>
  <c r="L27" i="99"/>
  <c r="L28" i="99"/>
  <c r="L29" i="99"/>
  <c r="L30" i="99"/>
  <c r="L31" i="99"/>
  <c r="L32" i="99"/>
  <c r="I33" i="99"/>
  <c r="I30" i="99"/>
  <c r="J30" i="99" s="1"/>
  <c r="I29" i="99"/>
  <c r="J29" i="99" s="1"/>
  <c r="J5" i="99"/>
  <c r="J6" i="99"/>
  <c r="J7" i="99"/>
  <c r="J8" i="99"/>
  <c r="J9" i="99"/>
  <c r="J10" i="99"/>
  <c r="J11" i="99"/>
  <c r="J12" i="99"/>
  <c r="J14" i="99"/>
  <c r="J15" i="99"/>
  <c r="J16" i="99"/>
  <c r="J17" i="99"/>
  <c r="J18" i="99"/>
  <c r="J19" i="99"/>
  <c r="J20" i="99"/>
  <c r="J21" i="99"/>
  <c r="J22" i="99"/>
  <c r="J23" i="99"/>
  <c r="J24" i="99"/>
  <c r="J25" i="99"/>
  <c r="J26" i="99"/>
  <c r="J27" i="99"/>
  <c r="J28" i="99"/>
  <c r="J31" i="99"/>
  <c r="J32" i="99"/>
  <c r="G35" i="99"/>
  <c r="G33" i="99"/>
  <c r="H22" i="99"/>
  <c r="H24" i="99"/>
  <c r="H25" i="99"/>
  <c r="H26" i="99"/>
  <c r="H27" i="99"/>
  <c r="H28" i="99"/>
  <c r="H29" i="99"/>
  <c r="H30" i="99"/>
  <c r="H31" i="99"/>
  <c r="H32" i="99"/>
  <c r="H13" i="99"/>
  <c r="F15" i="99"/>
  <c r="E33" i="99" s="1"/>
  <c r="E27" i="99"/>
  <c r="F31" i="99"/>
  <c r="F30" i="99"/>
  <c r="F32" i="99"/>
  <c r="F29" i="99"/>
  <c r="F28" i="99"/>
  <c r="F27" i="99"/>
  <c r="F26" i="99"/>
  <c r="F25" i="99"/>
  <c r="F24" i="99"/>
  <c r="H23" i="99"/>
  <c r="F23" i="99"/>
  <c r="F22" i="99"/>
  <c r="H21" i="99"/>
  <c r="F21" i="99"/>
  <c r="H20" i="99"/>
  <c r="F20" i="99"/>
  <c r="H19" i="99"/>
  <c r="F19" i="99"/>
  <c r="H18" i="99"/>
  <c r="F18" i="99"/>
  <c r="H17" i="99"/>
  <c r="F17" i="99"/>
  <c r="H16" i="99"/>
  <c r="F16" i="99"/>
  <c r="H15" i="99"/>
  <c r="H14" i="99"/>
  <c r="F14" i="99"/>
  <c r="F13" i="99"/>
  <c r="H12" i="99"/>
  <c r="F12" i="99"/>
  <c r="H11" i="99"/>
  <c r="F11" i="99"/>
  <c r="H10" i="99"/>
  <c r="F10" i="99"/>
  <c r="H9" i="99"/>
  <c r="F9" i="99"/>
  <c r="H8" i="99"/>
  <c r="F8" i="99"/>
  <c r="H7" i="99"/>
  <c r="F7" i="99"/>
  <c r="H6" i="99"/>
  <c r="F6" i="99"/>
  <c r="H5" i="99"/>
  <c r="F5" i="99"/>
  <c r="L4" i="99"/>
  <c r="J4" i="99"/>
  <c r="H4" i="99"/>
  <c r="F4" i="99"/>
  <c r="G6" i="98"/>
  <c r="H6" i="98" s="1"/>
  <c r="G7" i="98" s="1"/>
  <c r="E6" i="98"/>
  <c r="J6" i="98"/>
  <c r="I7" i="98" s="1"/>
  <c r="F6" i="98"/>
  <c r="E7" i="98" s="1"/>
  <c r="E6" i="97"/>
  <c r="J6" i="97"/>
  <c r="I7" i="97" s="1"/>
  <c r="H6" i="97"/>
  <c r="G7" i="97" s="1"/>
  <c r="F6" i="97"/>
  <c r="E7" i="97" s="1"/>
  <c r="G6" i="96"/>
  <c r="H6" i="96" s="1"/>
  <c r="G7" i="96" s="1"/>
  <c r="G9" i="96" s="1"/>
  <c r="E8" i="96"/>
  <c r="E6" i="96"/>
  <c r="F6" i="96" s="1"/>
  <c r="E7" i="96" s="1"/>
  <c r="H6" i="95"/>
  <c r="G7" i="95" s="1"/>
  <c r="F6" i="95"/>
  <c r="E7" i="95" s="1"/>
  <c r="K25" i="94"/>
  <c r="L25" i="94" s="1"/>
  <c r="K26" i="94"/>
  <c r="K27" i="94"/>
  <c r="K24" i="94"/>
  <c r="L24" i="94" s="1"/>
  <c r="K21" i="94"/>
  <c r="L21" i="94" s="1"/>
  <c r="K20" i="94"/>
  <c r="L20" i="94" s="1"/>
  <c r="K13" i="94"/>
  <c r="L13" i="94" s="1"/>
  <c r="K14" i="94"/>
  <c r="L14" i="94" s="1"/>
  <c r="K15" i="94"/>
  <c r="L15" i="94" s="1"/>
  <c r="K16" i="94"/>
  <c r="L16" i="94" s="1"/>
  <c r="K17" i="94"/>
  <c r="L17" i="94" s="1"/>
  <c r="K18" i="94"/>
  <c r="L18" i="94" s="1"/>
  <c r="K12" i="94"/>
  <c r="L12" i="94" s="1"/>
  <c r="K10" i="94"/>
  <c r="L10" i="94" s="1"/>
  <c r="K8" i="94"/>
  <c r="L8" i="94" s="1"/>
  <c r="K7" i="94"/>
  <c r="L7" i="94" s="1"/>
  <c r="K6" i="94"/>
  <c r="L6" i="94" s="1"/>
  <c r="O22" i="94"/>
  <c r="O27" i="94"/>
  <c r="O26" i="94"/>
  <c r="O21" i="94"/>
  <c r="O20" i="94"/>
  <c r="O18" i="94"/>
  <c r="O14" i="94"/>
  <c r="O13" i="94"/>
  <c r="O12" i="94"/>
  <c r="E25" i="94"/>
  <c r="F25" i="94" s="1"/>
  <c r="E26" i="94"/>
  <c r="F26" i="94" s="1"/>
  <c r="E27" i="94"/>
  <c r="F27" i="94" s="1"/>
  <c r="E24" i="94"/>
  <c r="F24" i="94" s="1"/>
  <c r="E13" i="94"/>
  <c r="F13" i="94" s="1"/>
  <c r="E14" i="94"/>
  <c r="F14" i="94" s="1"/>
  <c r="E15" i="94"/>
  <c r="F15" i="94" s="1"/>
  <c r="E16" i="94"/>
  <c r="F16" i="94" s="1"/>
  <c r="E17" i="94"/>
  <c r="F17" i="94" s="1"/>
  <c r="E18" i="94"/>
  <c r="F18" i="94" s="1"/>
  <c r="E12" i="94"/>
  <c r="F12" i="94" s="1"/>
  <c r="E10" i="94"/>
  <c r="F10" i="94" s="1"/>
  <c r="E8" i="94"/>
  <c r="F8" i="94" s="1"/>
  <c r="E7" i="94"/>
  <c r="F7" i="94" s="1"/>
  <c r="L26" i="94"/>
  <c r="L27" i="94"/>
  <c r="I25" i="94"/>
  <c r="I24" i="94"/>
  <c r="I20" i="94"/>
  <c r="I18" i="94"/>
  <c r="I13" i="94"/>
  <c r="I14" i="94"/>
  <c r="I15" i="94"/>
  <c r="I12" i="94"/>
  <c r="I9" i="94"/>
  <c r="I8" i="94"/>
  <c r="I26" i="94"/>
  <c r="I27" i="94"/>
  <c r="F6" i="93"/>
  <c r="E7" i="93" s="1"/>
  <c r="H6" i="93"/>
  <c r="G7" i="93" s="1"/>
  <c r="G8" i="92"/>
  <c r="H7" i="92"/>
  <c r="G7" i="92"/>
  <c r="H6" i="92"/>
  <c r="G6" i="92"/>
  <c r="E11" i="92"/>
  <c r="E10" i="92"/>
  <c r="E8" i="92"/>
  <c r="E7" i="92"/>
  <c r="F7" i="92" s="1"/>
  <c r="E6" i="92"/>
  <c r="F6" i="92" s="1"/>
  <c r="G9" i="91"/>
  <c r="F9" i="91"/>
  <c r="E18" i="90"/>
  <c r="F11" i="90"/>
  <c r="H11" i="90"/>
  <c r="D11" i="90"/>
  <c r="H10" i="90"/>
  <c r="H9" i="90"/>
  <c r="D10" i="91"/>
  <c r="E10" i="91" s="1"/>
  <c r="D9" i="91"/>
  <c r="E9" i="91" s="1"/>
  <c r="D7" i="91"/>
  <c r="E7" i="91" s="1"/>
  <c r="D6" i="91"/>
  <c r="E6" i="91" s="1"/>
  <c r="J10" i="91"/>
  <c r="K10" i="91" s="1"/>
  <c r="J9" i="91"/>
  <c r="K9" i="91" s="1"/>
  <c r="J7" i="91"/>
  <c r="K7" i="91" s="1"/>
  <c r="J6" i="91"/>
  <c r="K6" i="91" s="1"/>
  <c r="I9" i="91"/>
  <c r="I10" i="91"/>
  <c r="I7" i="91"/>
  <c r="I6" i="91"/>
  <c r="F10" i="91"/>
  <c r="G10" i="91" s="1"/>
  <c r="F8" i="91"/>
  <c r="G8" i="91" s="1"/>
  <c r="I18" i="90"/>
  <c r="H19" i="90" s="1"/>
  <c r="F18" i="90"/>
  <c r="G18" i="90" s="1"/>
  <c r="F19" i="90" s="1"/>
  <c r="D18" i="90"/>
  <c r="H8" i="90"/>
  <c r="H7" i="90"/>
  <c r="D8" i="90"/>
  <c r="D7" i="90"/>
  <c r="F8" i="85"/>
  <c r="F7" i="85"/>
  <c r="I13" i="85"/>
  <c r="J13" i="85" s="1"/>
  <c r="I15" i="85"/>
  <c r="J15" i="85" s="1"/>
  <c r="I14" i="85"/>
  <c r="J14" i="85" s="1"/>
  <c r="I6" i="85"/>
  <c r="J6" i="85" s="1"/>
  <c r="J7" i="88"/>
  <c r="J6" i="88"/>
  <c r="G7" i="88"/>
  <c r="H7" i="88" s="1"/>
  <c r="G6" i="88"/>
  <c r="H6" i="88" s="1"/>
  <c r="E7" i="88"/>
  <c r="F7" i="88" s="1"/>
  <c r="E6" i="88"/>
  <c r="F6" i="88" s="1"/>
  <c r="F16" i="87"/>
  <c r="F15" i="87"/>
  <c r="E16" i="87"/>
  <c r="F9" i="87"/>
  <c r="E6" i="87"/>
  <c r="E8" i="87" s="1"/>
  <c r="E9" i="87" s="1"/>
  <c r="H6" i="86"/>
  <c r="E10" i="86"/>
  <c r="E9" i="86"/>
  <c r="E6" i="86"/>
  <c r="F6" i="86" s="1"/>
  <c r="E7" i="86" s="1"/>
  <c r="G7" i="86"/>
  <c r="F12" i="85"/>
  <c r="H11" i="85"/>
  <c r="F11" i="85"/>
  <c r="H10" i="85"/>
  <c r="F10" i="85"/>
  <c r="H9" i="85"/>
  <c r="F9" i="85"/>
  <c r="H8" i="85"/>
  <c r="H18" i="85"/>
  <c r="F18" i="85"/>
  <c r="H17" i="85"/>
  <c r="F17" i="85"/>
  <c r="H16" i="85"/>
  <c r="F16" i="85"/>
  <c r="H15" i="85"/>
  <c r="F15" i="85"/>
  <c r="H19" i="85"/>
  <c r="F19" i="85"/>
  <c r="H14" i="85"/>
  <c r="F14" i="85"/>
  <c r="H7" i="85"/>
  <c r="F6" i="85"/>
  <c r="L5" i="84"/>
  <c r="J5" i="84"/>
  <c r="I6" i="84" s="1"/>
  <c r="H5" i="84"/>
  <c r="G6" i="84" s="1"/>
  <c r="F5" i="84"/>
  <c r="L4" i="84"/>
  <c r="H4" i="84"/>
  <c r="F4" i="84"/>
  <c r="F8" i="83"/>
  <c r="E8" i="83"/>
  <c r="I11" i="81"/>
  <c r="I10" i="81"/>
  <c r="I6" i="81"/>
  <c r="J6" i="81"/>
  <c r="I7" i="81"/>
  <c r="J7" i="81"/>
  <c r="G11" i="81"/>
  <c r="G10" i="81"/>
  <c r="G7" i="81"/>
  <c r="G6" i="81"/>
  <c r="H6" i="81" s="1"/>
  <c r="H7" i="81"/>
  <c r="F7" i="81"/>
  <c r="F6" i="81"/>
  <c r="L8" i="80"/>
  <c r="J9" i="80"/>
  <c r="J7" i="80"/>
  <c r="J6" i="80"/>
  <c r="I10" i="80" s="1"/>
  <c r="L9" i="80"/>
  <c r="H9" i="80"/>
  <c r="F9" i="80"/>
  <c r="H8" i="80"/>
  <c r="F8" i="80"/>
  <c r="H7" i="80"/>
  <c r="F7" i="80"/>
  <c r="H6" i="80"/>
  <c r="F6" i="80"/>
  <c r="G6" i="79"/>
  <c r="H6" i="79" s="1"/>
  <c r="G7" i="79" s="1"/>
  <c r="F6" i="79"/>
  <c r="E7" i="79" s="1"/>
  <c r="H6" i="78"/>
  <c r="F6" i="78"/>
  <c r="E7" i="78" s="1"/>
  <c r="I11" i="77"/>
  <c r="I10" i="77"/>
  <c r="I8" i="77"/>
  <c r="J7" i="77"/>
  <c r="I7" i="77"/>
  <c r="J6" i="77"/>
  <c r="I6" i="77"/>
  <c r="K7" i="77"/>
  <c r="L7" i="77" s="1"/>
  <c r="E7" i="77"/>
  <c r="F7" i="77" s="1"/>
  <c r="H7" i="77"/>
  <c r="L6" i="77"/>
  <c r="H6" i="77"/>
  <c r="I8" i="76"/>
  <c r="J8" i="76" s="1"/>
  <c r="G7" i="76"/>
  <c r="H7" i="76" s="1"/>
  <c r="E8" i="76"/>
  <c r="F8" i="76" s="1"/>
  <c r="E7" i="76"/>
  <c r="F7" i="76" s="1"/>
  <c r="E6" i="76"/>
  <c r="F6" i="76" s="1"/>
  <c r="H8" i="76"/>
  <c r="N12" i="75"/>
  <c r="O12" i="75" s="1"/>
  <c r="N11" i="75"/>
  <c r="O11" i="75" s="1"/>
  <c r="N10" i="75"/>
  <c r="O10" i="75" s="1"/>
  <c r="N9" i="75"/>
  <c r="O9" i="75" s="1"/>
  <c r="N8" i="75"/>
  <c r="O8" i="75" s="1"/>
  <c r="N6" i="75"/>
  <c r="O6" i="75" s="1"/>
  <c r="I6" i="75"/>
  <c r="K9" i="75"/>
  <c r="L9" i="75" s="1"/>
  <c r="K8" i="75"/>
  <c r="L8" i="75" s="1"/>
  <c r="K7" i="75"/>
  <c r="L7" i="75" s="1"/>
  <c r="K6" i="75"/>
  <c r="L6" i="75" s="1"/>
  <c r="J8" i="75"/>
  <c r="I12" i="75"/>
  <c r="I11" i="75"/>
  <c r="E12" i="75"/>
  <c r="F12" i="75" s="1"/>
  <c r="E11" i="75"/>
  <c r="F11" i="75" s="1"/>
  <c r="I7" i="75"/>
  <c r="I8" i="75"/>
  <c r="I9" i="75"/>
  <c r="I10" i="75"/>
  <c r="E9" i="75"/>
  <c r="F9" i="75" s="1"/>
  <c r="E8" i="75"/>
  <c r="F8" i="75" s="1"/>
  <c r="E6" i="75"/>
  <c r="F6" i="75" s="1"/>
  <c r="E9" i="96" l="1"/>
  <c r="F13" i="139"/>
  <c r="F14" i="139" s="1"/>
  <c r="G13" i="134"/>
  <c r="K28" i="94"/>
  <c r="K30" i="94" s="1"/>
  <c r="K31" i="94" s="1"/>
  <c r="F8" i="102"/>
  <c r="N21" i="131"/>
  <c r="H21" i="131"/>
  <c r="D20" i="131"/>
  <c r="D21" i="131" s="1"/>
  <c r="H13" i="129"/>
  <c r="H16" i="129" s="1"/>
  <c r="F13" i="129"/>
  <c r="F16" i="129" s="1"/>
  <c r="L13" i="129"/>
  <c r="L16" i="129" s="1"/>
  <c r="J13" i="129"/>
  <c r="J16" i="129" s="1"/>
  <c r="D13" i="129"/>
  <c r="D8" i="128"/>
  <c r="D10" i="128" s="1"/>
  <c r="D11" i="128" s="1"/>
  <c r="F8" i="128"/>
  <c r="H12" i="127"/>
  <c r="F14" i="127"/>
  <c r="F15" i="127" s="1"/>
  <c r="J12" i="127"/>
  <c r="J15" i="127" s="1"/>
  <c r="L12" i="127"/>
  <c r="L15" i="127" s="1"/>
  <c r="D12" i="127"/>
  <c r="D7" i="126"/>
  <c r="H7" i="126"/>
  <c r="H10" i="126" s="1"/>
  <c r="F7" i="126"/>
  <c r="F10" i="126" s="1"/>
  <c r="D10" i="126"/>
  <c r="G7" i="125"/>
  <c r="G8" i="125" s="1"/>
  <c r="E7" i="125"/>
  <c r="E8" i="125" s="1"/>
  <c r="E8" i="123"/>
  <c r="E10" i="123" s="1"/>
  <c r="E11" i="123" s="1"/>
  <c r="G8" i="123"/>
  <c r="G10" i="123" s="1"/>
  <c r="G11" i="123" s="1"/>
  <c r="I8" i="123"/>
  <c r="I10" i="123"/>
  <c r="I11" i="123" s="1"/>
  <c r="J15" i="122"/>
  <c r="J16" i="122" s="1"/>
  <c r="H8" i="122"/>
  <c r="D15" i="122"/>
  <c r="D16" i="122" s="1"/>
  <c r="F15" i="122"/>
  <c r="F16" i="122" s="1"/>
  <c r="H15" i="122"/>
  <c r="H16" i="122" s="1"/>
  <c r="D8" i="122"/>
  <c r="F8" i="122"/>
  <c r="H8" i="121"/>
  <c r="F7" i="121"/>
  <c r="F8" i="121" s="1"/>
  <c r="I10" i="119"/>
  <c r="G10" i="119"/>
  <c r="E10" i="119"/>
  <c r="I12" i="119"/>
  <c r="I13" i="119" s="1"/>
  <c r="F10" i="118"/>
  <c r="J7" i="118"/>
  <c r="J10" i="118" s="1"/>
  <c r="L7" i="118"/>
  <c r="L10" i="118" s="1"/>
  <c r="D7" i="118"/>
  <c r="D9" i="118" s="1"/>
  <c r="D10" i="118" s="1"/>
  <c r="H7" i="118"/>
  <c r="H10" i="118" s="1"/>
  <c r="F12" i="117"/>
  <c r="H12" i="117"/>
  <c r="F10" i="116"/>
  <c r="D9" i="116"/>
  <c r="D11" i="116" s="1"/>
  <c r="D12" i="116" s="1"/>
  <c r="H14" i="115"/>
  <c r="L14" i="115"/>
  <c r="L17" i="115" s="1"/>
  <c r="J14" i="115"/>
  <c r="J17" i="115" s="1"/>
  <c r="F17" i="115"/>
  <c r="D14" i="115"/>
  <c r="D9" i="114"/>
  <c r="D10" i="114" s="1"/>
  <c r="D9" i="113"/>
  <c r="D10" i="113" s="1"/>
  <c r="F10" i="113"/>
  <c r="H9" i="113"/>
  <c r="H10" i="113" s="1"/>
  <c r="F9" i="112"/>
  <c r="F10" i="112" s="1"/>
  <c r="F11" i="112" s="1"/>
  <c r="H9" i="112"/>
  <c r="H10" i="112" s="1"/>
  <c r="H10" i="111"/>
  <c r="H13" i="111" s="1"/>
  <c r="D10" i="111"/>
  <c r="D12" i="111" s="1"/>
  <c r="D13" i="111" s="1"/>
  <c r="J10" i="111"/>
  <c r="J13" i="111" s="1"/>
  <c r="L10" i="111"/>
  <c r="L13" i="111" s="1"/>
  <c r="F10" i="111"/>
  <c r="H11" i="110"/>
  <c r="H12" i="110"/>
  <c r="F9" i="110"/>
  <c r="F11" i="110" s="1"/>
  <c r="F12" i="110" s="1"/>
  <c r="I9" i="109"/>
  <c r="E9" i="109"/>
  <c r="G9" i="109"/>
  <c r="D9" i="108"/>
  <c r="D10" i="108" s="1"/>
  <c r="F8" i="108"/>
  <c r="D9" i="107"/>
  <c r="D10" i="107" s="1"/>
  <c r="F9" i="107"/>
  <c r="F10" i="107" s="1"/>
  <c r="H8" i="107"/>
  <c r="H8" i="106"/>
  <c r="F8" i="106"/>
  <c r="F10" i="106" s="1"/>
  <c r="D8" i="106"/>
  <c r="D9" i="106" s="1"/>
  <c r="D10" i="106" s="1"/>
  <c r="H10" i="105"/>
  <c r="H12" i="105" s="1"/>
  <c r="D10" i="105"/>
  <c r="D11" i="105" s="1"/>
  <c r="F10" i="105"/>
  <c r="J12" i="104"/>
  <c r="J14" i="104" s="1"/>
  <c r="L12" i="104"/>
  <c r="L14" i="104" s="1"/>
  <c r="F12" i="104"/>
  <c r="F13" i="104" s="1"/>
  <c r="F14" i="104" s="1"/>
  <c r="D12" i="104"/>
  <c r="H12" i="104"/>
  <c r="H14" i="104" s="1"/>
  <c r="G9" i="103"/>
  <c r="G11" i="103" s="1"/>
  <c r="G12" i="103" s="1"/>
  <c r="I9" i="103"/>
  <c r="I11" i="103" s="1"/>
  <c r="I12" i="103" s="1"/>
  <c r="E11" i="103"/>
  <c r="E12" i="103" s="1"/>
  <c r="I12" i="101"/>
  <c r="K9" i="101"/>
  <c r="K11" i="101" s="1"/>
  <c r="K12" i="101" s="1"/>
  <c r="E9" i="101"/>
  <c r="E11" i="101" s="1"/>
  <c r="E12" i="101" s="1"/>
  <c r="G9" i="101"/>
  <c r="G11" i="101" s="1"/>
  <c r="G12" i="101" s="1"/>
  <c r="K33" i="100"/>
  <c r="K35" i="100" s="1"/>
  <c r="E33" i="100"/>
  <c r="E35" i="100" s="1"/>
  <c r="I35" i="99"/>
  <c r="K33" i="99"/>
  <c r="K35" i="99" s="1"/>
  <c r="E35" i="99"/>
  <c r="E9" i="98"/>
  <c r="E10" i="98" s="1"/>
  <c r="G9" i="98"/>
  <c r="G10" i="98" s="1"/>
  <c r="I10" i="98"/>
  <c r="I9" i="97"/>
  <c r="I10" i="97" s="1"/>
  <c r="E9" i="97"/>
  <c r="E10" i="97" s="1"/>
  <c r="G9" i="97"/>
  <c r="G10" i="97" s="1"/>
  <c r="G10" i="96"/>
  <c r="E10" i="96"/>
  <c r="E10" i="95"/>
  <c r="G10" i="95"/>
  <c r="H28" i="94"/>
  <c r="N28" i="94"/>
  <c r="E28" i="94"/>
  <c r="H30" i="94"/>
  <c r="H31" i="94" s="1"/>
  <c r="N30" i="94"/>
  <c r="N31" i="94" s="1"/>
  <c r="G9" i="93"/>
  <c r="E9" i="93"/>
  <c r="G10" i="92"/>
  <c r="G11" i="92" s="1"/>
  <c r="H13" i="90"/>
  <c r="H14" i="90" s="1"/>
  <c r="D13" i="90"/>
  <c r="D14" i="90" s="1"/>
  <c r="F21" i="90"/>
  <c r="F22" i="90" s="1"/>
  <c r="D19" i="90"/>
  <c r="H11" i="91"/>
  <c r="H13" i="91"/>
  <c r="H14" i="91" s="1"/>
  <c r="J11" i="91"/>
  <c r="J14" i="91" s="1"/>
  <c r="D11" i="91"/>
  <c r="F11" i="91"/>
  <c r="F13" i="90"/>
  <c r="F14" i="90" s="1"/>
  <c r="H21" i="90"/>
  <c r="H22" i="90" s="1"/>
  <c r="G8" i="88"/>
  <c r="G10" i="88" s="1"/>
  <c r="G11" i="88" s="1"/>
  <c r="E8" i="88"/>
  <c r="E10" i="88" s="1"/>
  <c r="E11" i="88" s="1"/>
  <c r="I8" i="88"/>
  <c r="I10" i="88" s="1"/>
  <c r="I11" i="88" s="1"/>
  <c r="G9" i="86"/>
  <c r="G10" i="86" s="1"/>
  <c r="E20" i="85"/>
  <c r="G20" i="85"/>
  <c r="I20" i="85"/>
  <c r="I23" i="85" s="1"/>
  <c r="K6" i="84"/>
  <c r="K9" i="84" s="1"/>
  <c r="E6" i="84"/>
  <c r="G8" i="84"/>
  <c r="G9" i="84"/>
  <c r="I8" i="84"/>
  <c r="I9" i="84" s="1"/>
  <c r="E8" i="84"/>
  <c r="E9" i="84" s="1"/>
  <c r="G8" i="81"/>
  <c r="E8" i="81"/>
  <c r="E10" i="81" s="1"/>
  <c r="E11" i="81" s="1"/>
  <c r="I8" i="81"/>
  <c r="I12" i="80"/>
  <c r="I13" i="80" s="1"/>
  <c r="K10" i="80"/>
  <c r="K13" i="80" s="1"/>
  <c r="G10" i="80"/>
  <c r="G12" i="80" s="1"/>
  <c r="G13" i="80" s="1"/>
  <c r="E10" i="80"/>
  <c r="E12" i="80" s="1"/>
  <c r="E13" i="80" s="1"/>
  <c r="E9" i="79"/>
  <c r="E10" i="79" s="1"/>
  <c r="G9" i="79"/>
  <c r="G10" i="79" s="1"/>
  <c r="G7" i="78"/>
  <c r="G9" i="78" s="1"/>
  <c r="G10" i="78" s="1"/>
  <c r="E10" i="78"/>
  <c r="K8" i="77"/>
  <c r="G8" i="77"/>
  <c r="G10" i="77" s="1"/>
  <c r="G11" i="77" s="1"/>
  <c r="E8" i="77"/>
  <c r="E10" i="77" s="1"/>
  <c r="E11" i="77" s="1"/>
  <c r="K10" i="77"/>
  <c r="K11" i="77" s="1"/>
  <c r="E9" i="76"/>
  <c r="G9" i="76"/>
  <c r="G11" i="76" s="1"/>
  <c r="G12" i="76" s="1"/>
  <c r="I9" i="76"/>
  <c r="I11" i="76" s="1"/>
  <c r="I12" i="76" s="1"/>
  <c r="N13" i="75"/>
  <c r="E13" i="75"/>
  <c r="E15" i="75" s="1"/>
  <c r="E16" i="75" s="1"/>
  <c r="H13" i="75"/>
  <c r="H15" i="75" s="1"/>
  <c r="H16" i="75" s="1"/>
  <c r="K13" i="75"/>
  <c r="K15" i="75" s="1"/>
  <c r="K16" i="75" s="1"/>
  <c r="E7" i="74"/>
  <c r="F7" i="74" s="1"/>
  <c r="I9" i="73"/>
  <c r="J9" i="73" s="1"/>
  <c r="I8" i="73"/>
  <c r="J8" i="73" s="1"/>
  <c r="G7" i="74"/>
  <c r="H7" i="74" s="1"/>
  <c r="G6" i="74"/>
  <c r="H6" i="74" s="1"/>
  <c r="F6" i="74"/>
  <c r="I7" i="73"/>
  <c r="J7" i="73" s="1"/>
  <c r="I6" i="73"/>
  <c r="G9" i="73"/>
  <c r="H9" i="73" s="1"/>
  <c r="G8" i="73"/>
  <c r="E11" i="73"/>
  <c r="F11" i="73" s="1"/>
  <c r="E10" i="73"/>
  <c r="F10" i="73" s="1"/>
  <c r="H10" i="73"/>
  <c r="H11" i="73"/>
  <c r="F9" i="73"/>
  <c r="H8" i="73"/>
  <c r="F8" i="73"/>
  <c r="F7" i="73"/>
  <c r="J6" i="73"/>
  <c r="H6" i="73"/>
  <c r="F6" i="73"/>
  <c r="E8" i="71"/>
  <c r="E9" i="71" s="1"/>
  <c r="F8" i="71"/>
  <c r="F9" i="71" s="1"/>
  <c r="F6" i="71"/>
  <c r="G8" i="71"/>
  <c r="G9" i="71" s="1"/>
  <c r="F9" i="72"/>
  <c r="G9" i="72" s="1"/>
  <c r="H9" i="72"/>
  <c r="I9" i="72" s="1"/>
  <c r="D8" i="72"/>
  <c r="E8" i="72" s="1"/>
  <c r="D7" i="72"/>
  <c r="D6" i="72"/>
  <c r="E6" i="72"/>
  <c r="I8" i="72"/>
  <c r="G8" i="72"/>
  <c r="I7" i="72"/>
  <c r="G7" i="72"/>
  <c r="E7" i="72"/>
  <c r="I6" i="72"/>
  <c r="G6" i="72"/>
  <c r="E6" i="70"/>
  <c r="F6" i="70" s="1"/>
  <c r="J9" i="70"/>
  <c r="H9" i="70"/>
  <c r="F9" i="70"/>
  <c r="J8" i="70"/>
  <c r="H8" i="70"/>
  <c r="F8" i="70"/>
  <c r="J7" i="70"/>
  <c r="H7" i="70"/>
  <c r="F7" i="70"/>
  <c r="G6" i="69"/>
  <c r="H6" i="69" s="1"/>
  <c r="G7" i="69" s="1"/>
  <c r="E6" i="69"/>
  <c r="F6" i="69" s="1"/>
  <c r="E7" i="69" s="1"/>
  <c r="H11" i="66"/>
  <c r="I11" i="66" s="1"/>
  <c r="I15" i="66"/>
  <c r="I13" i="66"/>
  <c r="I12" i="66"/>
  <c r="I9" i="66"/>
  <c r="I8" i="66"/>
  <c r="I7" i="66"/>
  <c r="F23" i="66"/>
  <c r="G23" i="66" s="1"/>
  <c r="F24" i="66" s="1"/>
  <c r="F25" i="66" s="1"/>
  <c r="E23" i="66"/>
  <c r="H6" i="68"/>
  <c r="G7" i="68" s="1"/>
  <c r="F6" i="68"/>
  <c r="K11" i="66"/>
  <c r="F11" i="66"/>
  <c r="G11" i="66" s="1"/>
  <c r="F6" i="66"/>
  <c r="G6" i="66" s="1"/>
  <c r="D9" i="66"/>
  <c r="E9" i="66" s="1"/>
  <c r="K7" i="66"/>
  <c r="K8" i="66"/>
  <c r="K9" i="66"/>
  <c r="K10" i="66"/>
  <c r="K12" i="66"/>
  <c r="G7" i="66"/>
  <c r="G8" i="66"/>
  <c r="G9" i="66"/>
  <c r="G10" i="66"/>
  <c r="E7" i="66"/>
  <c r="E10" i="66"/>
  <c r="E12" i="66"/>
  <c r="K15" i="66"/>
  <c r="G15" i="66"/>
  <c r="E15" i="66"/>
  <c r="K14" i="66"/>
  <c r="G14" i="66"/>
  <c r="K13" i="66"/>
  <c r="G13" i="66"/>
  <c r="E13" i="66"/>
  <c r="K6" i="66"/>
  <c r="D7" i="65"/>
  <c r="E7" i="65" s="1"/>
  <c r="D6" i="65"/>
  <c r="E6" i="65" s="1"/>
  <c r="D5" i="65"/>
  <c r="E5" i="65" s="1"/>
  <c r="D8" i="65"/>
  <c r="E8" i="65" s="1"/>
  <c r="G9" i="64"/>
  <c r="G11" i="64" s="1"/>
  <c r="F8" i="64"/>
  <c r="F7" i="64"/>
  <c r="F6" i="64"/>
  <c r="E12" i="64"/>
  <c r="E11" i="64"/>
  <c r="E9" i="64"/>
  <c r="F5" i="63"/>
  <c r="G5" i="63" s="1"/>
  <c r="F6" i="63" s="1"/>
  <c r="D9" i="63"/>
  <c r="D8" i="63"/>
  <c r="D5" i="63"/>
  <c r="E5" i="63" s="1"/>
  <c r="D6" i="63" s="1"/>
  <c r="I5" i="63"/>
  <c r="H6" i="63" s="1"/>
  <c r="I8" i="60"/>
  <c r="I6" i="60"/>
  <c r="J6" i="60" s="1"/>
  <c r="I7" i="60" s="1"/>
  <c r="F7" i="62"/>
  <c r="F8" i="62" s="1"/>
  <c r="E8" i="62"/>
  <c r="D8" i="62"/>
  <c r="J6" i="61"/>
  <c r="G6" i="61"/>
  <c r="E6" i="61"/>
  <c r="G8" i="61"/>
  <c r="H8" i="61" s="1"/>
  <c r="G7" i="61"/>
  <c r="E9" i="61"/>
  <c r="F9" i="61" s="1"/>
  <c r="E8" i="61"/>
  <c r="F8" i="61" s="1"/>
  <c r="E7" i="61"/>
  <c r="F7" i="61" s="1"/>
  <c r="F6" i="61"/>
  <c r="J8" i="61"/>
  <c r="J7" i="61"/>
  <c r="H7" i="61"/>
  <c r="H6" i="61"/>
  <c r="G14" i="60"/>
  <c r="H14" i="60" s="1"/>
  <c r="G15" i="60" s="1"/>
  <c r="J14" i="60"/>
  <c r="I15" i="60" s="1"/>
  <c r="F14" i="60"/>
  <c r="E15" i="60" s="1"/>
  <c r="G6" i="60"/>
  <c r="H6" i="60" s="1"/>
  <c r="G7" i="60" s="1"/>
  <c r="E6" i="60"/>
  <c r="F6" i="60" s="1"/>
  <c r="E7" i="60" s="1"/>
  <c r="L10" i="59"/>
  <c r="L9" i="59"/>
  <c r="J11" i="59"/>
  <c r="J8" i="59"/>
  <c r="J7" i="59"/>
  <c r="J6" i="59"/>
  <c r="J12" i="59"/>
  <c r="L11" i="59"/>
  <c r="F11" i="59"/>
  <c r="F10" i="59"/>
  <c r="L12" i="59"/>
  <c r="H12" i="59"/>
  <c r="F12" i="59"/>
  <c r="H9" i="59"/>
  <c r="F9" i="59"/>
  <c r="L8" i="59"/>
  <c r="H8" i="59"/>
  <c r="F8" i="59"/>
  <c r="L7" i="59"/>
  <c r="H7" i="59"/>
  <c r="F7" i="59"/>
  <c r="L6" i="59"/>
  <c r="H6" i="59"/>
  <c r="F6" i="59"/>
  <c r="G10" i="58"/>
  <c r="G9" i="58"/>
  <c r="H6" i="58"/>
  <c r="G6" i="58"/>
  <c r="E6" i="58"/>
  <c r="F6" i="58" s="1"/>
  <c r="E7" i="58" s="1"/>
  <c r="D10" i="57"/>
  <c r="D9" i="57"/>
  <c r="I6" i="57"/>
  <c r="H7" i="57" s="1"/>
  <c r="H10" i="57" s="1"/>
  <c r="G6" i="57"/>
  <c r="F7" i="57" s="1"/>
  <c r="F10" i="57" s="1"/>
  <c r="D6" i="57"/>
  <c r="E6" i="57" s="1"/>
  <c r="D7" i="57" s="1"/>
  <c r="E10" i="56"/>
  <c r="E9" i="56"/>
  <c r="E6" i="56"/>
  <c r="F6" i="56" s="1"/>
  <c r="E7" i="56" s="1"/>
  <c r="I6" i="56"/>
  <c r="J6" i="56" s="1"/>
  <c r="G6" i="56"/>
  <c r="H6" i="56" s="1"/>
  <c r="G7" i="55"/>
  <c r="E7" i="55"/>
  <c r="F6" i="55"/>
  <c r="F7" i="55" s="1"/>
  <c r="G6" i="55"/>
  <c r="E6" i="55"/>
  <c r="I5" i="54"/>
  <c r="G5" i="54"/>
  <c r="H6" i="54"/>
  <c r="H8" i="54" s="1"/>
  <c r="F6" i="54"/>
  <c r="E5" i="54"/>
  <c r="D6" i="54" s="1"/>
  <c r="F6" i="53"/>
  <c r="G6" i="53" s="1"/>
  <c r="D6" i="53"/>
  <c r="E6" i="53" s="1"/>
  <c r="D5" i="53"/>
  <c r="E5" i="53" s="1"/>
  <c r="K6" i="53"/>
  <c r="I6" i="53"/>
  <c r="H7" i="53" s="1"/>
  <c r="F5" i="52"/>
  <c r="J6" i="52"/>
  <c r="H6" i="52"/>
  <c r="F6" i="52"/>
  <c r="E7" i="52" s="1"/>
  <c r="E9" i="52" s="1"/>
  <c r="J5" i="52"/>
  <c r="H5" i="52"/>
  <c r="E13" i="51"/>
  <c r="D14" i="51" s="1"/>
  <c r="L5" i="51"/>
  <c r="M5" i="51" s="1"/>
  <c r="L4" i="51"/>
  <c r="M4" i="51" s="1"/>
  <c r="J4" i="51"/>
  <c r="K4" i="51" s="1"/>
  <c r="H4" i="51"/>
  <c r="I4" i="51" s="1"/>
  <c r="F4" i="51"/>
  <c r="G4" i="51" s="1"/>
  <c r="E4" i="51"/>
  <c r="F8" i="50"/>
  <c r="E8" i="50"/>
  <c r="H9" i="47"/>
  <c r="I9" i="47" s="1"/>
  <c r="F9" i="47"/>
  <c r="G9" i="47" s="1"/>
  <c r="K9" i="47"/>
  <c r="K14" i="47"/>
  <c r="K11" i="47"/>
  <c r="K10" i="47"/>
  <c r="K8" i="47"/>
  <c r="K7" i="47"/>
  <c r="K6" i="47"/>
  <c r="K5" i="47"/>
  <c r="I5" i="47"/>
  <c r="I14" i="47"/>
  <c r="I12" i="47"/>
  <c r="I11" i="47"/>
  <c r="I10" i="47"/>
  <c r="I7" i="47"/>
  <c r="I6" i="47"/>
  <c r="G6" i="49"/>
  <c r="G8" i="49" s="1"/>
  <c r="F8" i="49"/>
  <c r="F9" i="49" s="1"/>
  <c r="E8" i="49"/>
  <c r="E9" i="49" s="1"/>
  <c r="G6" i="48"/>
  <c r="G8" i="48" s="1"/>
  <c r="F8" i="48"/>
  <c r="F9" i="48" s="1"/>
  <c r="E8" i="48"/>
  <c r="E9" i="48" s="1"/>
  <c r="E14" i="47"/>
  <c r="G14" i="47"/>
  <c r="E13" i="47"/>
  <c r="G13" i="47"/>
  <c r="E12" i="47"/>
  <c r="G12" i="47"/>
  <c r="G11" i="47"/>
  <c r="E10" i="47"/>
  <c r="G10" i="47"/>
  <c r="M8" i="47"/>
  <c r="G7" i="47"/>
  <c r="E7" i="47"/>
  <c r="G6" i="47"/>
  <c r="E6" i="47"/>
  <c r="E5" i="47"/>
  <c r="I11" i="45"/>
  <c r="H11" i="45"/>
  <c r="H8" i="45"/>
  <c r="I8" i="45" s="1"/>
  <c r="H7" i="45"/>
  <c r="I7" i="45" s="1"/>
  <c r="H6" i="45"/>
  <c r="I6" i="45" s="1"/>
  <c r="H6" i="46"/>
  <c r="I6" i="46" s="1"/>
  <c r="D8" i="46"/>
  <c r="E8" i="46" s="1"/>
  <c r="D7" i="46"/>
  <c r="E7" i="46" s="1"/>
  <c r="D6" i="46"/>
  <c r="G8" i="46"/>
  <c r="K7" i="46"/>
  <c r="G7" i="46"/>
  <c r="K6" i="46"/>
  <c r="G6" i="46"/>
  <c r="E6" i="46"/>
  <c r="K10" i="45"/>
  <c r="K9" i="45"/>
  <c r="K11" i="45"/>
  <c r="D11" i="45"/>
  <c r="E11" i="45" s="1"/>
  <c r="D8" i="45"/>
  <c r="E8" i="45" s="1"/>
  <c r="D6" i="45"/>
  <c r="E6" i="45" s="1"/>
  <c r="G8" i="45"/>
  <c r="G7" i="45"/>
  <c r="G6" i="45"/>
  <c r="J6" i="43"/>
  <c r="I7" i="43" s="1"/>
  <c r="H6" i="43"/>
  <c r="G7" i="43" s="1"/>
  <c r="F6" i="43"/>
  <c r="E6" i="42"/>
  <c r="E7" i="42" s="1"/>
  <c r="F7" i="42"/>
  <c r="D6" i="42"/>
  <c r="D7" i="42" s="1"/>
  <c r="H15" i="40"/>
  <c r="D15" i="129" l="1"/>
  <c r="D16" i="129" s="1"/>
  <c r="F10" i="128"/>
  <c r="F11" i="128" s="1"/>
  <c r="H14" i="127"/>
  <c r="H15" i="127" s="1"/>
  <c r="D14" i="127"/>
  <c r="D15" i="127" s="1"/>
  <c r="D11" i="117"/>
  <c r="D12" i="117" s="1"/>
  <c r="F11" i="116"/>
  <c r="F12" i="116" s="1"/>
  <c r="H17" i="115"/>
  <c r="D16" i="115"/>
  <c r="D17" i="115" s="1"/>
  <c r="F12" i="111"/>
  <c r="F13" i="111" s="1"/>
  <c r="I10" i="109"/>
  <c r="I11" i="109" s="1"/>
  <c r="G10" i="109"/>
  <c r="G11" i="109" s="1"/>
  <c r="E10" i="109"/>
  <c r="E11" i="109" s="1"/>
  <c r="F9" i="108"/>
  <c r="F10" i="108" s="1"/>
  <c r="H9" i="107"/>
  <c r="H10" i="107" s="1"/>
  <c r="H9" i="106"/>
  <c r="H10" i="106" s="1"/>
  <c r="D12" i="105"/>
  <c r="F11" i="105"/>
  <c r="F12" i="105" s="1"/>
  <c r="D13" i="104"/>
  <c r="D14" i="104" s="1"/>
  <c r="E9" i="42"/>
  <c r="E10" i="42" s="1"/>
  <c r="H12" i="45"/>
  <c r="H14" i="45" s="1"/>
  <c r="H15" i="45" s="1"/>
  <c r="E30" i="94"/>
  <c r="E31" i="94" s="1"/>
  <c r="D21" i="90"/>
  <c r="D22" i="90" s="1"/>
  <c r="F13" i="91"/>
  <c r="F14" i="91" s="1"/>
  <c r="D13" i="91"/>
  <c r="D14" i="91" s="1"/>
  <c r="E23" i="85"/>
  <c r="G23" i="85"/>
  <c r="E12" i="76"/>
  <c r="E11" i="76"/>
  <c r="N15" i="75"/>
  <c r="N16" i="75" s="1"/>
  <c r="E8" i="74"/>
  <c r="E10" i="74" s="1"/>
  <c r="E11" i="74" s="1"/>
  <c r="G8" i="74"/>
  <c r="G10" i="74" s="1"/>
  <c r="G11" i="74" s="1"/>
  <c r="E12" i="73"/>
  <c r="G12" i="73"/>
  <c r="G14" i="73" s="1"/>
  <c r="G15" i="73" s="1"/>
  <c r="I12" i="73"/>
  <c r="I14" i="73" s="1"/>
  <c r="I15" i="73" s="1"/>
  <c r="E14" i="73"/>
  <c r="E15" i="73" s="1"/>
  <c r="D10" i="72"/>
  <c r="D12" i="72" s="1"/>
  <c r="D13" i="72" s="1"/>
  <c r="F10" i="72"/>
  <c r="F12" i="72" s="1"/>
  <c r="F13" i="72" s="1"/>
  <c r="H10" i="72"/>
  <c r="H12" i="72" s="1"/>
  <c r="H13" i="72" s="1"/>
  <c r="G10" i="70"/>
  <c r="I10" i="70"/>
  <c r="E10" i="70"/>
  <c r="E12" i="70" s="1"/>
  <c r="I12" i="70"/>
  <c r="I13" i="70" s="1"/>
  <c r="G12" i="70"/>
  <c r="G13" i="70" s="1"/>
  <c r="E9" i="69"/>
  <c r="E10" i="69" s="1"/>
  <c r="G9" i="69"/>
  <c r="G10" i="69" s="1"/>
  <c r="H16" i="66"/>
  <c r="D24" i="66"/>
  <c r="D25" i="66" s="1"/>
  <c r="E7" i="68"/>
  <c r="E10" i="68" s="1"/>
  <c r="G10" i="68"/>
  <c r="D16" i="66"/>
  <c r="D18" i="66" s="1"/>
  <c r="D19" i="66" s="1"/>
  <c r="J16" i="66"/>
  <c r="J19" i="66" s="1"/>
  <c r="F16" i="66"/>
  <c r="F18" i="66" s="1"/>
  <c r="F19" i="66" s="1"/>
  <c r="D9" i="65"/>
  <c r="D11" i="65" s="1"/>
  <c r="D12" i="65" s="1"/>
  <c r="G12" i="64"/>
  <c r="F9" i="64"/>
  <c r="F11" i="64" s="1"/>
  <c r="F8" i="63"/>
  <c r="F9" i="63" s="1"/>
  <c r="H8" i="63"/>
  <c r="H9" i="63" s="1"/>
  <c r="G10" i="61"/>
  <c r="G12" i="61" s="1"/>
  <c r="G13" i="61" s="1"/>
  <c r="E10" i="61"/>
  <c r="I10" i="61"/>
  <c r="I13" i="61"/>
  <c r="G17" i="60"/>
  <c r="G18" i="60" s="1"/>
  <c r="E17" i="60"/>
  <c r="E18" i="60" s="1"/>
  <c r="I16" i="60"/>
  <c r="I17" i="60" s="1"/>
  <c r="I18" i="60" s="1"/>
  <c r="E9" i="60"/>
  <c r="E10" i="60" s="1"/>
  <c r="G9" i="60"/>
  <c r="G10" i="60" s="1"/>
  <c r="I9" i="60"/>
  <c r="I13" i="59"/>
  <c r="I15" i="59" s="1"/>
  <c r="I16" i="59" s="1"/>
  <c r="E13" i="59"/>
  <c r="E16" i="59" s="1"/>
  <c r="G13" i="59"/>
  <c r="G15" i="59" s="1"/>
  <c r="G16" i="59" s="1"/>
  <c r="K13" i="59"/>
  <c r="K15" i="59" s="1"/>
  <c r="K16" i="59" s="1"/>
  <c r="G7" i="58"/>
  <c r="E9" i="58"/>
  <c r="E10" i="58" s="1"/>
  <c r="G7" i="56"/>
  <c r="I7" i="56"/>
  <c r="G9" i="56"/>
  <c r="G10" i="56" s="1"/>
  <c r="I9" i="56"/>
  <c r="I10" i="56" s="1"/>
  <c r="H9" i="54"/>
  <c r="F9" i="54"/>
  <c r="D8" i="54"/>
  <c r="D9" i="54" s="1"/>
  <c r="J7" i="53"/>
  <c r="J10" i="53" s="1"/>
  <c r="D7" i="53"/>
  <c r="D9" i="53" s="1"/>
  <c r="D10" i="53" s="1"/>
  <c r="H10" i="53"/>
  <c r="F7" i="53"/>
  <c r="I7" i="52"/>
  <c r="E10" i="52"/>
  <c r="G7" i="52"/>
  <c r="I9" i="52"/>
  <c r="I10" i="52" s="1"/>
  <c r="D16" i="51"/>
  <c r="D17" i="51" s="1"/>
  <c r="J6" i="51"/>
  <c r="J8" i="51" s="1"/>
  <c r="J9" i="51" s="1"/>
  <c r="H6" i="51"/>
  <c r="H8" i="51" s="1"/>
  <c r="H9" i="51" s="1"/>
  <c r="D6" i="51"/>
  <c r="D8" i="51" s="1"/>
  <c r="D9" i="51" s="1"/>
  <c r="F6" i="51"/>
  <c r="F8" i="51" s="1"/>
  <c r="F9" i="51" s="1"/>
  <c r="L6" i="51"/>
  <c r="L8" i="51" s="1"/>
  <c r="L9" i="51" s="1"/>
  <c r="H15" i="47"/>
  <c r="H17" i="47" s="1"/>
  <c r="H18" i="47" s="1"/>
  <c r="J15" i="47"/>
  <c r="J18" i="47" s="1"/>
  <c r="G9" i="49"/>
  <c r="G9" i="48"/>
  <c r="D15" i="47"/>
  <c r="D17" i="47" s="1"/>
  <c r="D18" i="47" s="1"/>
  <c r="L15" i="47"/>
  <c r="L17" i="47" s="1"/>
  <c r="L18" i="47" s="1"/>
  <c r="F15" i="47"/>
  <c r="F17" i="47" s="1"/>
  <c r="F18" i="47" s="1"/>
  <c r="J9" i="46"/>
  <c r="H9" i="46"/>
  <c r="F9" i="46"/>
  <c r="F12" i="46" s="1"/>
  <c r="D9" i="46"/>
  <c r="D11" i="46" s="1"/>
  <c r="D12" i="46" s="1"/>
  <c r="J12" i="46"/>
  <c r="D12" i="45"/>
  <c r="D14" i="45" s="1"/>
  <c r="D15" i="45" s="1"/>
  <c r="J12" i="45"/>
  <c r="J14" i="45" s="1"/>
  <c r="J15" i="45" s="1"/>
  <c r="F12" i="45"/>
  <c r="F14" i="45" s="1"/>
  <c r="F15" i="45" s="1"/>
  <c r="E8" i="43"/>
  <c r="E7" i="43"/>
  <c r="G9" i="43"/>
  <c r="G10" i="43" s="1"/>
  <c r="G11" i="43" s="1"/>
  <c r="I8" i="43"/>
  <c r="F9" i="42"/>
  <c r="F10" i="42" s="1"/>
  <c r="D9" i="42"/>
  <c r="D10" i="42" s="1"/>
  <c r="F12" i="41"/>
  <c r="F13" i="41" s="1"/>
  <c r="H9" i="41"/>
  <c r="H7" i="41"/>
  <c r="I7" i="41" s="1"/>
  <c r="H8" i="41"/>
  <c r="I8" i="41" s="1"/>
  <c r="H6" i="41"/>
  <c r="I6" i="41" s="1"/>
  <c r="I9" i="41"/>
  <c r="G8" i="41"/>
  <c r="G7" i="41"/>
  <c r="G9" i="41"/>
  <c r="E9" i="41"/>
  <c r="E8" i="41"/>
  <c r="E7" i="41"/>
  <c r="D6" i="41"/>
  <c r="E6" i="41" s="1"/>
  <c r="D10" i="41" s="1"/>
  <c r="F8" i="39"/>
  <c r="D13" i="40"/>
  <c r="E13" i="40" s="1"/>
  <c r="G13" i="40"/>
  <c r="D10" i="40"/>
  <c r="E10" i="40" s="1"/>
  <c r="D11" i="40"/>
  <c r="E11" i="40" s="1"/>
  <c r="J13" i="40"/>
  <c r="K13" i="40" s="1"/>
  <c r="J12" i="40"/>
  <c r="K12" i="40" s="1"/>
  <c r="J9" i="40"/>
  <c r="J11" i="40"/>
  <c r="K11" i="40" s="1"/>
  <c r="J10" i="40"/>
  <c r="K10" i="40" s="1"/>
  <c r="J8" i="40"/>
  <c r="K8" i="40" s="1"/>
  <c r="K9" i="40"/>
  <c r="J7" i="40"/>
  <c r="K7" i="40" s="1"/>
  <c r="E9" i="40"/>
  <c r="D9" i="40"/>
  <c r="D8" i="40"/>
  <c r="E8" i="40" s="1"/>
  <c r="D7" i="40"/>
  <c r="E7" i="40" s="1"/>
  <c r="I10" i="40"/>
  <c r="I9" i="40"/>
  <c r="G9" i="40"/>
  <c r="I11" i="40"/>
  <c r="G11" i="40"/>
  <c r="I8" i="40"/>
  <c r="G8" i="40"/>
  <c r="G7" i="40"/>
  <c r="D7" i="39"/>
  <c r="D6" i="39"/>
  <c r="E8" i="39"/>
  <c r="E10" i="39" s="1"/>
  <c r="E11" i="39" s="1"/>
  <c r="I6" i="38"/>
  <c r="G6" i="38"/>
  <c r="E6" i="38"/>
  <c r="D7" i="38" s="1"/>
  <c r="I5" i="38"/>
  <c r="G5" i="38"/>
  <c r="I4" i="38"/>
  <c r="G4" i="38"/>
  <c r="G12" i="37"/>
  <c r="H12" i="37" s="1"/>
  <c r="G11" i="37"/>
  <c r="H11" i="37" s="1"/>
  <c r="G10" i="37"/>
  <c r="H10" i="37" s="1"/>
  <c r="G9" i="37"/>
  <c r="H9" i="37" s="1"/>
  <c r="G8" i="37"/>
  <c r="H8" i="37" s="1"/>
  <c r="G7" i="37"/>
  <c r="H7" i="37" s="1"/>
  <c r="G6" i="37"/>
  <c r="H6" i="37" s="1"/>
  <c r="E12" i="37"/>
  <c r="F12" i="37" s="1"/>
  <c r="E11" i="37"/>
  <c r="F11" i="37" s="1"/>
  <c r="E10" i="37"/>
  <c r="F10" i="37" s="1"/>
  <c r="E9" i="37"/>
  <c r="F9" i="37" s="1"/>
  <c r="E8" i="37"/>
  <c r="E7" i="37"/>
  <c r="F7" i="37" s="1"/>
  <c r="E6" i="37"/>
  <c r="F6" i="37" s="1"/>
  <c r="J11" i="37"/>
  <c r="J10" i="37"/>
  <c r="J12" i="37"/>
  <c r="J9" i="37"/>
  <c r="J8" i="37"/>
  <c r="F8" i="37"/>
  <c r="J6" i="37"/>
  <c r="L13" i="35"/>
  <c r="M13" i="35" s="1"/>
  <c r="L12" i="35"/>
  <c r="M12" i="35" s="1"/>
  <c r="L11" i="35"/>
  <c r="M11" i="35" s="1"/>
  <c r="L5" i="35"/>
  <c r="M5" i="35" s="1"/>
  <c r="E6" i="36"/>
  <c r="F7" i="36"/>
  <c r="F8" i="36" s="1"/>
  <c r="J5" i="35"/>
  <c r="K5" i="35" s="1"/>
  <c r="J7" i="35"/>
  <c r="K7" i="35" s="1"/>
  <c r="J11" i="35"/>
  <c r="J8" i="35"/>
  <c r="K8" i="35" s="1"/>
  <c r="J4" i="35"/>
  <c r="K4" i="35" s="1"/>
  <c r="K11" i="35"/>
  <c r="K10" i="35"/>
  <c r="K9" i="35"/>
  <c r="K6" i="35"/>
  <c r="L10" i="35"/>
  <c r="M10" i="35" s="1"/>
  <c r="L9" i="35"/>
  <c r="M9" i="35" s="1"/>
  <c r="L8" i="35"/>
  <c r="M8" i="35"/>
  <c r="L7" i="35"/>
  <c r="M7" i="35" s="1"/>
  <c r="L6" i="35"/>
  <c r="M6" i="35" s="1"/>
  <c r="L4" i="35"/>
  <c r="M4" i="35" s="1"/>
  <c r="I11" i="35"/>
  <c r="I10" i="35"/>
  <c r="I9" i="35"/>
  <c r="I8" i="35"/>
  <c r="I7" i="35"/>
  <c r="I6" i="35"/>
  <c r="I5" i="35"/>
  <c r="I4" i="35"/>
  <c r="E6" i="35"/>
  <c r="D6" i="35" s="1"/>
  <c r="E7" i="35"/>
  <c r="G12" i="35"/>
  <c r="G11" i="35"/>
  <c r="E11" i="35"/>
  <c r="G10" i="35"/>
  <c r="E10" i="35"/>
  <c r="G9" i="35"/>
  <c r="E9" i="35"/>
  <c r="G8" i="35"/>
  <c r="E8" i="35"/>
  <c r="G7" i="35"/>
  <c r="G6" i="35"/>
  <c r="G5" i="35"/>
  <c r="E5" i="35"/>
  <c r="G4" i="35"/>
  <c r="E4" i="35"/>
  <c r="G8" i="34"/>
  <c r="H8" i="34" s="1"/>
  <c r="G6" i="34"/>
  <c r="H6" i="34" s="1"/>
  <c r="J8" i="34"/>
  <c r="F8" i="34"/>
  <c r="J7" i="34"/>
  <c r="J6" i="34"/>
  <c r="F8" i="33"/>
  <c r="E8" i="33"/>
  <c r="G6" i="32"/>
  <c r="H6" i="32" s="1"/>
  <c r="E7" i="32"/>
  <c r="F7" i="32" s="1"/>
  <c r="E6" i="32"/>
  <c r="F6" i="32" s="1"/>
  <c r="I7" i="31"/>
  <c r="H7" i="31"/>
  <c r="G7" i="31"/>
  <c r="G9" i="31"/>
  <c r="G8" i="31"/>
  <c r="K8" i="30"/>
  <c r="J8" i="30"/>
  <c r="J7" i="30"/>
  <c r="K7" i="30" s="1"/>
  <c r="G6" i="30"/>
  <c r="G7" i="30"/>
  <c r="F10" i="30" s="1"/>
  <c r="G8" i="30"/>
  <c r="I9" i="30"/>
  <c r="H10" i="30" s="1"/>
  <c r="L9" i="30"/>
  <c r="M9" i="30" s="1"/>
  <c r="L6" i="30"/>
  <c r="M6" i="30" s="1"/>
  <c r="J9" i="30"/>
  <c r="K9" i="30" s="1"/>
  <c r="D9" i="30"/>
  <c r="E9" i="30" s="1"/>
  <c r="J7" i="7"/>
  <c r="J8" i="7"/>
  <c r="J9" i="7"/>
  <c r="J10" i="7"/>
  <c r="J6" i="7"/>
  <c r="H7" i="7"/>
  <c r="H8" i="7"/>
  <c r="H9" i="7"/>
  <c r="H10" i="7"/>
  <c r="H6" i="7"/>
  <c r="F10" i="7"/>
  <c r="F7" i="7"/>
  <c r="F8" i="7"/>
  <c r="F9" i="7"/>
  <c r="F6" i="7"/>
  <c r="E11" i="28"/>
  <c r="I11" i="28"/>
  <c r="I10" i="28"/>
  <c r="I9" i="28"/>
  <c r="I8" i="28"/>
  <c r="I7" i="28"/>
  <c r="G7" i="28"/>
  <c r="G8" i="28" s="1"/>
  <c r="H6" i="28"/>
  <c r="J6" i="28"/>
  <c r="F6" i="28"/>
  <c r="G7" i="27"/>
  <c r="G9" i="27" s="1"/>
  <c r="F7" i="27"/>
  <c r="F9" i="27" s="1"/>
  <c r="K37" i="26"/>
  <c r="K12" i="26"/>
  <c r="L12" i="26" s="1"/>
  <c r="K10" i="26"/>
  <c r="L10" i="26" s="1"/>
  <c r="K11" i="26"/>
  <c r="L11" i="26" s="1"/>
  <c r="K9" i="26"/>
  <c r="L9" i="26" s="1"/>
  <c r="K8" i="26"/>
  <c r="L8" i="26" s="1"/>
  <c r="K7" i="26"/>
  <c r="L7" i="26" s="1"/>
  <c r="K6" i="26"/>
  <c r="L6" i="26" s="1"/>
  <c r="I33" i="26"/>
  <c r="J33" i="26" s="1"/>
  <c r="I29" i="26"/>
  <c r="I11" i="26"/>
  <c r="J11" i="26" s="1"/>
  <c r="I10" i="26"/>
  <c r="J10" i="26" s="1"/>
  <c r="I9" i="26"/>
  <c r="J9" i="26" s="1"/>
  <c r="I8" i="26"/>
  <c r="J8" i="26" s="1"/>
  <c r="I7" i="26"/>
  <c r="J7" i="26" s="1"/>
  <c r="I6" i="26"/>
  <c r="J6" i="26" s="1"/>
  <c r="E32" i="26"/>
  <c r="F32" i="26" s="1"/>
  <c r="J35" i="26"/>
  <c r="J32" i="26"/>
  <c r="J31" i="26"/>
  <c r="J30" i="26"/>
  <c r="J29" i="26"/>
  <c r="J28" i="26"/>
  <c r="J27" i="26"/>
  <c r="J26" i="26"/>
  <c r="J25" i="26"/>
  <c r="J24" i="26"/>
  <c r="J23" i="26"/>
  <c r="J22" i="26"/>
  <c r="J21" i="26"/>
  <c r="J20" i="26"/>
  <c r="J19" i="26"/>
  <c r="J18" i="26"/>
  <c r="J17" i="26"/>
  <c r="J16" i="26"/>
  <c r="J15" i="26"/>
  <c r="J14" i="26"/>
  <c r="J5" i="26"/>
  <c r="J4" i="26"/>
  <c r="L35" i="26"/>
  <c r="L5" i="26"/>
  <c r="L13" i="26"/>
  <c r="L14" i="26"/>
  <c r="L15" i="26"/>
  <c r="L16" i="26"/>
  <c r="L17" i="26"/>
  <c r="L18" i="26"/>
  <c r="L19" i="26"/>
  <c r="L20" i="26"/>
  <c r="L21" i="26"/>
  <c r="L22" i="26"/>
  <c r="L23" i="26"/>
  <c r="L24" i="26"/>
  <c r="L25" i="26"/>
  <c r="L26" i="26"/>
  <c r="L27" i="26"/>
  <c r="L28" i="26"/>
  <c r="L29" i="26"/>
  <c r="L30" i="26"/>
  <c r="L31" i="26"/>
  <c r="L33" i="26"/>
  <c r="L34" i="26"/>
  <c r="L4" i="26"/>
  <c r="H34" i="26"/>
  <c r="F34" i="26"/>
  <c r="F28" i="26"/>
  <c r="H27" i="26"/>
  <c r="F27" i="26"/>
  <c r="H26" i="26"/>
  <c r="F26" i="26"/>
  <c r="H25" i="26"/>
  <c r="F25" i="26"/>
  <c r="F24" i="26"/>
  <c r="H23" i="26"/>
  <c r="F23" i="26"/>
  <c r="H33" i="26"/>
  <c r="F33" i="26"/>
  <c r="H31" i="26"/>
  <c r="F31" i="26"/>
  <c r="F30" i="26"/>
  <c r="H29" i="26"/>
  <c r="F29" i="26"/>
  <c r="H22" i="26"/>
  <c r="F22" i="26"/>
  <c r="H21" i="26"/>
  <c r="F21" i="26"/>
  <c r="H20" i="26"/>
  <c r="F20" i="26"/>
  <c r="H19" i="26"/>
  <c r="F19" i="26"/>
  <c r="H18" i="26"/>
  <c r="F18" i="26"/>
  <c r="F13" i="26"/>
  <c r="H12" i="26"/>
  <c r="F12" i="26"/>
  <c r="H11" i="26"/>
  <c r="F11" i="26"/>
  <c r="H10" i="26"/>
  <c r="F10" i="26"/>
  <c r="H9" i="26"/>
  <c r="F9" i="26"/>
  <c r="H8" i="26"/>
  <c r="F8" i="26"/>
  <c r="H7" i="26"/>
  <c r="F7" i="26"/>
  <c r="H6" i="26"/>
  <c r="F6" i="26"/>
  <c r="H5" i="26"/>
  <c r="F5" i="26"/>
  <c r="H4" i="26"/>
  <c r="F4" i="26"/>
  <c r="H35" i="26"/>
  <c r="F35" i="26"/>
  <c r="H17" i="26"/>
  <c r="F17" i="26"/>
  <c r="H16" i="26"/>
  <c r="F16" i="26"/>
  <c r="H15" i="26"/>
  <c r="F15" i="26"/>
  <c r="H14" i="26"/>
  <c r="F14" i="26"/>
  <c r="D33" i="25"/>
  <c r="D36" i="25" s="1"/>
  <c r="F14" i="25"/>
  <c r="F36" i="25" s="1"/>
  <c r="F39" i="25" s="1"/>
  <c r="E6" i="25"/>
  <c r="E36" i="25" s="1"/>
  <c r="E39" i="25" s="1"/>
  <c r="J10" i="30" l="1"/>
  <c r="E13" i="70"/>
  <c r="H18" i="66"/>
  <c r="H19" i="66" s="1"/>
  <c r="F12" i="64"/>
  <c r="E12" i="61"/>
  <c r="E13" i="61" s="1"/>
  <c r="I10" i="60"/>
  <c r="F9" i="53"/>
  <c r="F10" i="53" s="1"/>
  <c r="G9" i="52"/>
  <c r="G10" i="52" s="1"/>
  <c r="H11" i="46"/>
  <c r="H12" i="46" s="1"/>
  <c r="I9" i="43"/>
  <c r="I10" i="43" s="1"/>
  <c r="I11" i="43" s="1"/>
  <c r="E9" i="43"/>
  <c r="E10" i="43"/>
  <c r="E11" i="43" s="1"/>
  <c r="F10" i="41"/>
  <c r="H10" i="41"/>
  <c r="H12" i="41" s="1"/>
  <c r="H13" i="41" s="1"/>
  <c r="D12" i="41"/>
  <c r="D13" i="41"/>
  <c r="D8" i="39"/>
  <c r="F10" i="39"/>
  <c r="F11" i="39" s="1"/>
  <c r="J14" i="40"/>
  <c r="J16" i="40" s="1"/>
  <c r="D14" i="40"/>
  <c r="D16" i="40" s="1"/>
  <c r="D17" i="40" s="1"/>
  <c r="F14" i="40"/>
  <c r="F17" i="40" s="1"/>
  <c r="H14" i="40"/>
  <c r="H16" i="40" s="1"/>
  <c r="H17" i="40" s="1"/>
  <c r="D10" i="39"/>
  <c r="D11" i="39" s="1"/>
  <c r="H7" i="38"/>
  <c r="H9" i="38" s="1"/>
  <c r="H10" i="38" s="1"/>
  <c r="F7" i="38"/>
  <c r="F9" i="38" s="1"/>
  <c r="F10" i="38" s="1"/>
  <c r="D10" i="38"/>
  <c r="J14" i="35"/>
  <c r="J16" i="35" s="1"/>
  <c r="I13" i="37"/>
  <c r="I15" i="37" s="1"/>
  <c r="I16" i="37" s="1"/>
  <c r="E13" i="37"/>
  <c r="E15" i="37" s="1"/>
  <c r="E16" i="37" s="1"/>
  <c r="G13" i="37"/>
  <c r="G15" i="37" s="1"/>
  <c r="G16" i="37" s="1"/>
  <c r="E7" i="36"/>
  <c r="E8" i="36" s="1"/>
  <c r="F14" i="35"/>
  <c r="D14" i="35"/>
  <c r="D16" i="35" s="1"/>
  <c r="D17" i="35" s="1"/>
  <c r="L14" i="35"/>
  <c r="L16" i="35" s="1"/>
  <c r="L17" i="35" s="1"/>
  <c r="H14" i="35"/>
  <c r="H17" i="35" s="1"/>
  <c r="E9" i="34"/>
  <c r="E11" i="34" s="1"/>
  <c r="E12" i="34" s="1"/>
  <c r="I9" i="34"/>
  <c r="I11" i="34" s="1"/>
  <c r="I12" i="34" s="1"/>
  <c r="G9" i="34"/>
  <c r="G11" i="34" s="1"/>
  <c r="G12" i="34" s="1"/>
  <c r="G8" i="32"/>
  <c r="G10" i="32" s="1"/>
  <c r="E8" i="32"/>
  <c r="D10" i="31"/>
  <c r="H10" i="31"/>
  <c r="F10" i="31"/>
  <c r="F12" i="31" s="1"/>
  <c r="F13" i="31" s="1"/>
  <c r="K6" i="30"/>
  <c r="H12" i="30"/>
  <c r="H13" i="30" s="1"/>
  <c r="L10" i="30"/>
  <c r="L12" i="30" s="1"/>
  <c r="L13" i="30" s="1"/>
  <c r="J12" i="30"/>
  <c r="J13" i="30" s="1"/>
  <c r="D10" i="30"/>
  <c r="D12" i="30" s="1"/>
  <c r="F12" i="30"/>
  <c r="F13" i="30" s="1"/>
  <c r="E7" i="28"/>
  <c r="E8" i="28"/>
  <c r="G9" i="28"/>
  <c r="G10" i="28" s="1"/>
  <c r="G11" i="28" s="1"/>
  <c r="G36" i="26"/>
  <c r="I36" i="26"/>
  <c r="I38" i="26" s="1"/>
  <c r="K36" i="26"/>
  <c r="K38" i="26" s="1"/>
  <c r="E36" i="26"/>
  <c r="E38" i="26" s="1"/>
  <c r="D38" i="25"/>
  <c r="D39" i="25" s="1"/>
  <c r="J17" i="40" l="1"/>
  <c r="J17" i="35"/>
  <c r="F17" i="35"/>
  <c r="G11" i="32"/>
  <c r="E9" i="32"/>
  <c r="E10" i="32" s="1"/>
  <c r="H12" i="31"/>
  <c r="H13" i="31" s="1"/>
  <c r="D12" i="31"/>
  <c r="D13" i="31" s="1"/>
  <c r="D13" i="30"/>
  <c r="E9" i="28"/>
  <c r="E10" i="28" s="1"/>
  <c r="G37" i="26"/>
  <c r="G38" i="26" s="1"/>
  <c r="E7" i="24"/>
  <c r="F7" i="24" s="1"/>
  <c r="E6" i="24"/>
  <c r="F6" i="24" s="1"/>
  <c r="J8" i="24"/>
  <c r="H8" i="24"/>
  <c r="J6" i="24"/>
  <c r="H6" i="24"/>
  <c r="G7" i="23"/>
  <c r="H7" i="23" s="1"/>
  <c r="G6" i="23"/>
  <c r="E10" i="23"/>
  <c r="E11" i="23" s="1"/>
  <c r="E7" i="23"/>
  <c r="E6" i="23"/>
  <c r="F6" i="23" s="1"/>
  <c r="J7" i="23"/>
  <c r="F7" i="23"/>
  <c r="J6" i="23"/>
  <c r="H6" i="23"/>
  <c r="G13" i="22"/>
  <c r="H13" i="22" s="1"/>
  <c r="E13" i="22"/>
  <c r="F13" i="22" s="1"/>
  <c r="G21" i="22"/>
  <c r="H21" i="22" s="1"/>
  <c r="G20" i="22"/>
  <c r="H20" i="22" s="1"/>
  <c r="E21" i="22"/>
  <c r="F21" i="22" s="1"/>
  <c r="E20" i="22"/>
  <c r="F20" i="22" s="1"/>
  <c r="I5" i="22"/>
  <c r="I6" i="22" s="1"/>
  <c r="I7" i="22" s="1"/>
  <c r="I8" i="22" s="1"/>
  <c r="E5" i="22"/>
  <c r="H6" i="22"/>
  <c r="H7" i="22" s="1"/>
  <c r="G6" i="22"/>
  <c r="G7" i="22" s="1"/>
  <c r="F6" i="22"/>
  <c r="F7" i="22" s="1"/>
  <c r="E6" i="22"/>
  <c r="E7" i="22" s="1"/>
  <c r="J13" i="22"/>
  <c r="J12" i="22"/>
  <c r="H12" i="22"/>
  <c r="F12" i="22"/>
  <c r="D7" i="21"/>
  <c r="E7" i="21" s="1"/>
  <c r="D6" i="21"/>
  <c r="E6" i="21" s="1"/>
  <c r="K6" i="21"/>
  <c r="I7" i="21"/>
  <c r="F7" i="21"/>
  <c r="G7" i="21"/>
  <c r="K7" i="21"/>
  <c r="J8" i="21" s="1"/>
  <c r="J11" i="21" s="1"/>
  <c r="H8" i="21"/>
  <c r="H11" i="21" s="1"/>
  <c r="E11" i="20"/>
  <c r="G11" i="20"/>
  <c r="I11" i="20"/>
  <c r="I8" i="20"/>
  <c r="C6" i="20"/>
  <c r="J6" i="20" s="1"/>
  <c r="I7" i="20" s="1"/>
  <c r="F16" i="19"/>
  <c r="F18" i="19" s="1"/>
  <c r="E16" i="19"/>
  <c r="G7" i="19"/>
  <c r="H7" i="19" s="1"/>
  <c r="G6" i="19"/>
  <c r="H6" i="19" s="1"/>
  <c r="J7" i="19"/>
  <c r="F7" i="19"/>
  <c r="J6" i="19"/>
  <c r="F6" i="19"/>
  <c r="H6" i="18"/>
  <c r="G7" i="18" s="1"/>
  <c r="F6" i="18"/>
  <c r="E7" i="18" s="1"/>
  <c r="I6" i="17"/>
  <c r="G6" i="17"/>
  <c r="H6" i="17" s="1"/>
  <c r="G7" i="17" s="1"/>
  <c r="E6" i="17"/>
  <c r="F6" i="17" s="1"/>
  <c r="E7" i="17" s="1"/>
  <c r="I10" i="17"/>
  <c r="I9" i="17"/>
  <c r="I8" i="17"/>
  <c r="J6" i="17"/>
  <c r="J6" i="16"/>
  <c r="I7" i="16" s="1"/>
  <c r="H6" i="16"/>
  <c r="G7" i="16" s="1"/>
  <c r="F6" i="16"/>
  <c r="E7" i="16" s="1"/>
  <c r="K8" i="15"/>
  <c r="K6" i="15"/>
  <c r="J10" i="15"/>
  <c r="J13" i="15" s="1"/>
  <c r="M6" i="15"/>
  <c r="M7" i="15"/>
  <c r="M8" i="15"/>
  <c r="M9" i="15"/>
  <c r="F6" i="15"/>
  <c r="G6" i="15" s="1"/>
  <c r="F8" i="15"/>
  <c r="G8" i="15"/>
  <c r="H8" i="15"/>
  <c r="I8" i="15" s="1"/>
  <c r="H6" i="15"/>
  <c r="I6" i="15" s="1"/>
  <c r="D6" i="15"/>
  <c r="F6" i="14"/>
  <c r="F7" i="14" s="1"/>
  <c r="G7" i="14"/>
  <c r="J7" i="13"/>
  <c r="J8" i="13"/>
  <c r="J9" i="13"/>
  <c r="J10" i="13"/>
  <c r="J11" i="13"/>
  <c r="J12" i="13"/>
  <c r="J6" i="13"/>
  <c r="K12" i="13"/>
  <c r="L12" i="13" s="1"/>
  <c r="K11" i="13"/>
  <c r="L11" i="13" s="1"/>
  <c r="K10" i="13"/>
  <c r="L10" i="13" s="1"/>
  <c r="K9" i="13"/>
  <c r="L9" i="13" s="1"/>
  <c r="K8" i="13"/>
  <c r="L8" i="13" s="1"/>
  <c r="K7" i="13"/>
  <c r="L7" i="13" s="1"/>
  <c r="I13" i="13"/>
  <c r="C7" i="13"/>
  <c r="H7" i="13" s="1"/>
  <c r="C6" i="13"/>
  <c r="H12" i="13"/>
  <c r="F12" i="13"/>
  <c r="H11" i="13"/>
  <c r="H10" i="13"/>
  <c r="F10" i="13"/>
  <c r="H9" i="13"/>
  <c r="F9" i="13"/>
  <c r="H8" i="13"/>
  <c r="F8" i="13"/>
  <c r="F7" i="13"/>
  <c r="K9" i="11"/>
  <c r="K10" i="11"/>
  <c r="K8" i="11"/>
  <c r="I18" i="11"/>
  <c r="H19" i="11" s="1"/>
  <c r="H21" i="11" s="1"/>
  <c r="H22" i="11" s="1"/>
  <c r="F20" i="11"/>
  <c r="F18" i="11"/>
  <c r="G18" i="11" s="1"/>
  <c r="F19" i="11" s="1"/>
  <c r="D18" i="11"/>
  <c r="E18" i="11" s="1"/>
  <c r="D19" i="11" s="1"/>
  <c r="D20" i="11" s="1"/>
  <c r="L7" i="11"/>
  <c r="M7" i="11" s="1"/>
  <c r="I10" i="11"/>
  <c r="I9" i="11"/>
  <c r="I8" i="11"/>
  <c r="D10" i="11"/>
  <c r="D9" i="11"/>
  <c r="D8" i="11"/>
  <c r="D7" i="11"/>
  <c r="G10" i="11"/>
  <c r="G9" i="11"/>
  <c r="G8" i="11"/>
  <c r="G7" i="11"/>
  <c r="J6" i="10"/>
  <c r="F7" i="10"/>
  <c r="F8" i="10"/>
  <c r="F6" i="10"/>
  <c r="L6" i="10"/>
  <c r="H6" i="10"/>
  <c r="G7" i="9"/>
  <c r="G9" i="9" s="1"/>
  <c r="D7" i="9"/>
  <c r="F7" i="9"/>
  <c r="E7" i="9"/>
  <c r="E9" i="9" s="1"/>
  <c r="H7" i="8"/>
  <c r="G7" i="8"/>
  <c r="G9" i="8" s="1"/>
  <c r="G10" i="8" s="1"/>
  <c r="F6" i="8"/>
  <c r="F7" i="8" s="1"/>
  <c r="E6" i="8"/>
  <c r="E7" i="8" s="1"/>
  <c r="E9" i="8" s="1"/>
  <c r="E10" i="8" s="1"/>
  <c r="D6" i="8"/>
  <c r="D7" i="8" s="1"/>
  <c r="G11" i="7"/>
  <c r="E11" i="32" l="1"/>
  <c r="E9" i="24"/>
  <c r="G9" i="24"/>
  <c r="G11" i="24" s="1"/>
  <c r="G12" i="24" s="1"/>
  <c r="I9" i="24"/>
  <c r="I11" i="24" s="1"/>
  <c r="I12" i="24" s="1"/>
  <c r="G8" i="23"/>
  <c r="G10" i="23" s="1"/>
  <c r="G11" i="23" s="1"/>
  <c r="E8" i="23"/>
  <c r="I8" i="23"/>
  <c r="I10" i="23" s="1"/>
  <c r="I11" i="23" s="1"/>
  <c r="H8" i="22"/>
  <c r="E8" i="22"/>
  <c r="G8" i="22"/>
  <c r="F8" i="22"/>
  <c r="I14" i="22"/>
  <c r="I16" i="22" s="1"/>
  <c r="E22" i="22"/>
  <c r="G22" i="22"/>
  <c r="E14" i="22"/>
  <c r="G14" i="22"/>
  <c r="G15" i="22" s="1"/>
  <c r="G16" i="22" s="1"/>
  <c r="D8" i="21"/>
  <c r="D10" i="21" s="1"/>
  <c r="D11" i="21" s="1"/>
  <c r="F8" i="21"/>
  <c r="F6" i="20"/>
  <c r="H6" i="20"/>
  <c r="G7" i="20" s="1"/>
  <c r="G9" i="20" s="1"/>
  <c r="I9" i="20"/>
  <c r="I10" i="20" s="1"/>
  <c r="F19" i="19"/>
  <c r="E8" i="19"/>
  <c r="E10" i="19" s="1"/>
  <c r="E11" i="19" s="1"/>
  <c r="E18" i="19"/>
  <c r="E19" i="19" s="1"/>
  <c r="I8" i="19"/>
  <c r="I10" i="19" s="1"/>
  <c r="I11" i="19" s="1"/>
  <c r="G8" i="19"/>
  <c r="G10" i="19" s="1"/>
  <c r="G11" i="19" s="1"/>
  <c r="E9" i="18"/>
  <c r="E10" i="18" s="1"/>
  <c r="G9" i="18"/>
  <c r="G10" i="18" s="1"/>
  <c r="I7" i="17"/>
  <c r="E9" i="17"/>
  <c r="E10" i="17" s="1"/>
  <c r="G9" i="17"/>
  <c r="G10" i="17" s="1"/>
  <c r="E9" i="16"/>
  <c r="E10" i="16" s="1"/>
  <c r="G9" i="16"/>
  <c r="G10" i="16" s="1"/>
  <c r="I9" i="16"/>
  <c r="I10" i="16" s="1"/>
  <c r="L10" i="15"/>
  <c r="L13" i="15" s="1"/>
  <c r="H10" i="15"/>
  <c r="H12" i="15" s="1"/>
  <c r="H13" i="15" s="1"/>
  <c r="D10" i="15"/>
  <c r="D12" i="15" s="1"/>
  <c r="D13" i="15" s="1"/>
  <c r="F10" i="15"/>
  <c r="F8" i="14"/>
  <c r="F9" i="14" s="1"/>
  <c r="G10" i="14"/>
  <c r="I15" i="13"/>
  <c r="I16" i="13" s="1"/>
  <c r="F6" i="13"/>
  <c r="E13" i="13" s="1"/>
  <c r="H6" i="13"/>
  <c r="G13" i="13" s="1"/>
  <c r="G15" i="13" s="1"/>
  <c r="G16" i="13" s="1"/>
  <c r="K13" i="13"/>
  <c r="J11" i="11"/>
  <c r="J13" i="11" s="1"/>
  <c r="J14" i="11" s="1"/>
  <c r="F21" i="11"/>
  <c r="F22" i="11" s="1"/>
  <c r="D21" i="11"/>
  <c r="D22" i="11" s="1"/>
  <c r="H11" i="11"/>
  <c r="H14" i="11" s="1"/>
  <c r="D11" i="11"/>
  <c r="D13" i="11" s="1"/>
  <c r="D14" i="11" s="1"/>
  <c r="L11" i="11"/>
  <c r="F11" i="11"/>
  <c r="F14" i="11" s="1"/>
  <c r="I9" i="10"/>
  <c r="I11" i="10" s="1"/>
  <c r="I12" i="10" s="1"/>
  <c r="G9" i="10"/>
  <c r="G11" i="10" s="1"/>
  <c r="G12" i="10" s="1"/>
  <c r="E9" i="10"/>
  <c r="E11" i="10" s="1"/>
  <c r="E12" i="10" s="1"/>
  <c r="K9" i="10"/>
  <c r="K11" i="10" s="1"/>
  <c r="K12" i="10" s="1"/>
  <c r="F9" i="9"/>
  <c r="F10" i="9" s="1"/>
  <c r="E10" i="9"/>
  <c r="D9" i="9"/>
  <c r="D10" i="9" s="1"/>
  <c r="G10" i="9"/>
  <c r="F9" i="8"/>
  <c r="F10" i="8" s="1"/>
  <c r="H10" i="8"/>
  <c r="D9" i="8"/>
  <c r="D10" i="8" s="1"/>
  <c r="H9" i="8"/>
  <c r="E11" i="7"/>
  <c r="E13" i="7" s="1"/>
  <c r="E14" i="7" s="1"/>
  <c r="I11" i="7"/>
  <c r="I13" i="7" s="1"/>
  <c r="I14" i="7" s="1"/>
  <c r="G13" i="7"/>
  <c r="G14" i="7" s="1"/>
  <c r="E11" i="24" l="1"/>
  <c r="E12" i="24" s="1"/>
  <c r="E15" i="22"/>
  <c r="E16" i="22" s="1"/>
  <c r="G23" i="22"/>
  <c r="G24" i="22" s="1"/>
  <c r="E23" i="22"/>
  <c r="E24" i="22" s="1"/>
  <c r="F10" i="21"/>
  <c r="F11" i="21" s="1"/>
  <c r="E7" i="20"/>
  <c r="E8" i="20"/>
  <c r="G10" i="20"/>
  <c r="F12" i="15"/>
  <c r="F13" i="15" s="1"/>
  <c r="F10" i="14"/>
  <c r="K15" i="13"/>
  <c r="K16" i="13" s="1"/>
  <c r="E16" i="13"/>
  <c r="L13" i="11"/>
  <c r="L14" i="11" s="1"/>
  <c r="E9" i="20" l="1"/>
  <c r="E10" i="20" s="1"/>
  <c r="G26" i="183"/>
  <c r="G23" i="183"/>
  <c r="G25" i="183"/>
  <c r="F25" i="183"/>
  <c r="F23" i="183"/>
  <c r="F26" i="183"/>
  <c r="E25" i="183"/>
  <c r="E23" i="183"/>
  <c r="E26" i="183"/>
</calcChain>
</file>

<file path=xl/sharedStrings.xml><?xml version="1.0" encoding="utf-8"?>
<sst xmlns="http://schemas.openxmlformats.org/spreadsheetml/2006/main" count="4914" uniqueCount="869">
  <si>
    <t>ARTÍCULO</t>
  </si>
  <si>
    <t>CUADRO COMPARATIVO DE OFERTAS</t>
  </si>
  <si>
    <t>IVA</t>
  </si>
  <si>
    <t>TOTAL</t>
  </si>
  <si>
    <t>SUBTOTAL</t>
  </si>
  <si>
    <t>DESCUENTO</t>
  </si>
  <si>
    <t>#</t>
  </si>
  <si>
    <t>P1</t>
  </si>
  <si>
    <t>P2</t>
  </si>
  <si>
    <t>P3</t>
  </si>
  <si>
    <t>IMPORTE</t>
  </si>
  <si>
    <t>CANT</t>
  </si>
  <si>
    <t>MES</t>
  </si>
  <si>
    <t>TIPO DE CAMBIO</t>
  </si>
  <si>
    <t>P.U.</t>
  </si>
  <si>
    <t>C$</t>
  </si>
  <si>
    <t>AS-DDMMAAAA-##</t>
  </si>
  <si>
    <t>ID:</t>
  </si>
  <si>
    <t>ECSESA</t>
  </si>
  <si>
    <t>SACONICSA</t>
  </si>
  <si>
    <t>AGRONAVA</t>
  </si>
  <si>
    <t>ISA</t>
  </si>
  <si>
    <t>CARIBBEAN</t>
  </si>
  <si>
    <t>BOTAS DE CUERO #40</t>
  </si>
  <si>
    <t>ME-01112021-01</t>
  </si>
  <si>
    <t>ME-01112021-03</t>
  </si>
  <si>
    <t>COMPRESOR 1/3</t>
  </si>
  <si>
    <t>H 2 MIL</t>
  </si>
  <si>
    <t>SOLIS COMERCIAL</t>
  </si>
  <si>
    <t>FRIOAIRE</t>
  </si>
  <si>
    <t>SIN OFERTA</t>
  </si>
  <si>
    <t>COIRSA</t>
  </si>
  <si>
    <t>SI-27102021-201</t>
  </si>
  <si>
    <t>SILLAS PLASTICAS PLEGABLES</t>
  </si>
  <si>
    <t>PRICESMART</t>
  </si>
  <si>
    <t>OFFICE SUPLY</t>
  </si>
  <si>
    <t>-</t>
  </si>
  <si>
    <t>PULPITO</t>
  </si>
  <si>
    <t>SINSA</t>
  </si>
  <si>
    <t>B</t>
  </si>
  <si>
    <t>C</t>
  </si>
  <si>
    <t>A</t>
  </si>
  <si>
    <t>SILLA DE ACERO
(IMAGEN ADJUNTA)</t>
  </si>
  <si>
    <t>SILLA COMFORT
(IMAGEN ADJUNTA)</t>
  </si>
  <si>
    <t>ME-01112021-02</t>
  </si>
  <si>
    <t>ACEITE 15W40</t>
  </si>
  <si>
    <t>FILT ACEITE</t>
  </si>
  <si>
    <t>FILT AIRE</t>
  </si>
  <si>
    <t>FILT COMBUST</t>
  </si>
  <si>
    <t>IMPRESSA</t>
  </si>
  <si>
    <t>MAIRENA</t>
  </si>
  <si>
    <t>AUTOPARTES</t>
  </si>
  <si>
    <t>SUPER REP</t>
  </si>
  <si>
    <t>CASA PELLAS</t>
  </si>
  <si>
    <t>LLANTAS 205R16</t>
  </si>
  <si>
    <t>AUTOMASTER</t>
  </si>
  <si>
    <t>LLANTASA</t>
  </si>
  <si>
    <t>ME-01112021-04</t>
  </si>
  <si>
    <t>IN-01112021-08</t>
  </si>
  <si>
    <t>CEMENTO</t>
  </si>
  <si>
    <t>VARILLAS 3/8</t>
  </si>
  <si>
    <t>DISCOS 4 1/2</t>
  </si>
  <si>
    <t>VARILLAS 1/4</t>
  </si>
  <si>
    <t>CLAVOS 2 1/2</t>
  </si>
  <si>
    <t>TUBO 1/2 X 6</t>
  </si>
  <si>
    <t>VARILLA 1/2</t>
  </si>
  <si>
    <t>LA GRAPA</t>
  </si>
  <si>
    <t>JENNY</t>
  </si>
  <si>
    <t>EL CASTILLO</t>
  </si>
  <si>
    <t>CORRALES</t>
  </si>
  <si>
    <t>ME-03112021-22</t>
  </si>
  <si>
    <t>BOMBA DE AGUA</t>
  </si>
  <si>
    <t>B&amp;M</t>
  </si>
  <si>
    <t>ME-01112021-05</t>
  </si>
  <si>
    <t>CORREAS 17390</t>
  </si>
  <si>
    <t>POLEAS 12 MM</t>
  </si>
  <si>
    <t>TACOS DE FRENO</t>
  </si>
  <si>
    <t>POLEAS 17 MM</t>
  </si>
  <si>
    <t>ME-04112021-47</t>
  </si>
  <si>
    <t>TELEFONO INALAMBRICO</t>
  </si>
  <si>
    <t>RADIO SHACK</t>
  </si>
  <si>
    <t>CECA</t>
  </si>
  <si>
    <t>BG-04112021-34</t>
  </si>
  <si>
    <t>TELA DE LLUVIA</t>
  </si>
  <si>
    <t>INPRO CEA</t>
  </si>
  <si>
    <t>NIC PLAST</t>
  </si>
  <si>
    <t>PLAST MOD</t>
  </si>
  <si>
    <t>ISC</t>
  </si>
  <si>
    <t>DISPUESTOS A NEGOCIAR PRECIOS</t>
  </si>
  <si>
    <t>ME-04112021-48</t>
  </si>
  <si>
    <t>ALTERNADORES</t>
  </si>
  <si>
    <t>HECTOR ARAUZ</t>
  </si>
  <si>
    <t>ZENKELL</t>
  </si>
  <si>
    <t>DE 80 AMP</t>
  </si>
  <si>
    <t>DE 150 AMP</t>
  </si>
  <si>
    <t>BRIDAS PLASTICAS</t>
  </si>
  <si>
    <t>TAPES ELECT SCOTCH</t>
  </si>
  <si>
    <t>ME-28102021-221</t>
  </si>
  <si>
    <t>EDISA</t>
  </si>
  <si>
    <t>LAEL</t>
  </si>
  <si>
    <t>CUBAS</t>
  </si>
  <si>
    <t>BARCENAS</t>
  </si>
  <si>
    <t>CARRUCHA DE ALAMBRE</t>
  </si>
  <si>
    <t>ME-04112021-36</t>
  </si>
  <si>
    <t>LLANTAS 700 R16</t>
  </si>
  <si>
    <t>REPSA</t>
  </si>
  <si>
    <t>TOTAL C$</t>
  </si>
  <si>
    <t>ME-04112021-44</t>
  </si>
  <si>
    <t>BOMBAS DE AGUA</t>
  </si>
  <si>
    <t>TAPONES RADIADOR</t>
  </si>
  <si>
    <t>SOLO TIENE 1 BOMBA DISPONIBLE</t>
  </si>
  <si>
    <t>DISPONIBLE:</t>
  </si>
  <si>
    <t>2 BOMBAS</t>
  </si>
  <si>
    <t>4 TAPONES</t>
  </si>
  <si>
    <t xml:space="preserve">COMPLEMENTO DENTRO DE </t>
  </si>
  <si>
    <t>2 SEMANAS</t>
  </si>
  <si>
    <t>ME-08112021-58</t>
  </si>
  <si>
    <t>ROLLO CORTINA</t>
  </si>
  <si>
    <t>H2MIL</t>
  </si>
  <si>
    <t>SOLIS</t>
  </si>
  <si>
    <t>SINTER</t>
  </si>
  <si>
    <t>BROCAS DE 1/4</t>
  </si>
  <si>
    <t>REMACHES LARGOS 1/4</t>
  </si>
  <si>
    <t>HOSOSA</t>
  </si>
  <si>
    <t>ANGULARES DE ALUMINIO</t>
  </si>
  <si>
    <t>PLATINAS DE ALUMINIO</t>
  </si>
  <si>
    <t>ALUMICENTRO</t>
  </si>
  <si>
    <t>AMUNICSA</t>
  </si>
  <si>
    <t>REMACHES CUMPLEN REQUISITO DEL SOLICITANTE</t>
  </si>
  <si>
    <t>IT-10112021-94</t>
  </si>
  <si>
    <t>DISCO DURO 2TB</t>
  </si>
  <si>
    <t>DISCO DURO 6TB</t>
  </si>
  <si>
    <t>CONICO</t>
  </si>
  <si>
    <t>COMTECH</t>
  </si>
  <si>
    <t>SEVASA</t>
  </si>
  <si>
    <t>ME-09112021-89</t>
  </si>
  <si>
    <t>CORREAS A31</t>
  </si>
  <si>
    <t>CORREAS ALTERN</t>
  </si>
  <si>
    <t>CORREAS 4PK1070</t>
  </si>
  <si>
    <t>SOLO 6 A31 DISPONIBLES</t>
  </si>
  <si>
    <t>5% Y 20%</t>
  </si>
  <si>
    <t>BABASA</t>
  </si>
  <si>
    <t>TITOS</t>
  </si>
  <si>
    <t>CANTIDAD</t>
  </si>
  <si>
    <t>GONPER</t>
  </si>
  <si>
    <t>OFFICE SOL</t>
  </si>
  <si>
    <t>RCL</t>
  </si>
  <si>
    <t>Resmas papel Bond T/c</t>
  </si>
  <si>
    <t>Resmas papel Bond T/L</t>
  </si>
  <si>
    <t xml:space="preserve">Lapiceros azules </t>
  </si>
  <si>
    <t>lapiceros negros</t>
  </si>
  <si>
    <t>lapiceros Rojos</t>
  </si>
  <si>
    <t>Marcador permanente azul</t>
  </si>
  <si>
    <t>Marcador permanente Negro</t>
  </si>
  <si>
    <t>Marcador Permanente Rojo</t>
  </si>
  <si>
    <t>Marcador Fluorescente</t>
  </si>
  <si>
    <t>und de libretas amarillas</t>
  </si>
  <si>
    <t>und de order Book</t>
  </si>
  <si>
    <t>und de perforadoras</t>
  </si>
  <si>
    <t>und de ampos T/C</t>
  </si>
  <si>
    <t>und de selladores Transparentes</t>
  </si>
  <si>
    <t>und de Masking  tape</t>
  </si>
  <si>
    <t>und de calculadoras Casio MX -120B 12 Dígitos</t>
  </si>
  <si>
    <t xml:space="preserve">cajitas de Grapas </t>
  </si>
  <si>
    <t>und de Reglas Plásticas</t>
  </si>
  <si>
    <t>paquetes de Folder T/C</t>
  </si>
  <si>
    <t>Paquete de Folder t/l</t>
  </si>
  <si>
    <t>und de tablas con clamp  plásticas.</t>
  </si>
  <si>
    <t xml:space="preserve">und de cera para contar </t>
  </si>
  <si>
    <t>und de tijeras</t>
  </si>
  <si>
    <t>und de tintas para sellos AZUL</t>
  </si>
  <si>
    <t>und de engrapadora</t>
  </si>
  <si>
    <t>und de lápiz de Grafito</t>
  </si>
  <si>
    <t>und de tajador</t>
  </si>
  <si>
    <t>und de caja de clip Grande</t>
  </si>
  <si>
    <t>und de caja de clip Mediano</t>
  </si>
  <si>
    <t>und de corrector líquido.</t>
  </si>
  <si>
    <t>BG-10112021-96</t>
  </si>
  <si>
    <t>OFFICE SOLUTIONS</t>
  </si>
  <si>
    <t>LA UNIVERSAL</t>
  </si>
  <si>
    <t>OFFICE LINE</t>
  </si>
  <si>
    <t>Calculadora casio 12 digitos</t>
  </si>
  <si>
    <t>Papel continuo</t>
  </si>
  <si>
    <t>Caja de clip Grande</t>
  </si>
  <si>
    <t>Caja de Clan Grande</t>
  </si>
  <si>
    <t>Corrector líquido</t>
  </si>
  <si>
    <t>Fastener</t>
  </si>
  <si>
    <t>Bolsas de Hule</t>
  </si>
  <si>
    <t>Libretas amarillas</t>
  </si>
  <si>
    <t>Order Book</t>
  </si>
  <si>
    <t>Perforadoras</t>
  </si>
  <si>
    <t>Ampos</t>
  </si>
  <si>
    <t>Selladores Transparentes</t>
  </si>
  <si>
    <t>Masking  tape</t>
  </si>
  <si>
    <t>Reglas Plásticas</t>
  </si>
  <si>
    <t>Folder T/C</t>
  </si>
  <si>
    <t>Folder t/l</t>
  </si>
  <si>
    <t>Tablas con clamp</t>
  </si>
  <si>
    <t xml:space="preserve">Cera para contar </t>
  </si>
  <si>
    <t>Tijeras</t>
  </si>
  <si>
    <t>Tintas para sellos AZUL</t>
  </si>
  <si>
    <t>Engrapadora</t>
  </si>
  <si>
    <t>Lápiz de Grafito</t>
  </si>
  <si>
    <t>Resmas papel Bond T/C</t>
  </si>
  <si>
    <t>ME-10112021-99</t>
  </si>
  <si>
    <t>COMPRESOR DE 1/2 HP</t>
  </si>
  <si>
    <t>H 2MIL</t>
  </si>
  <si>
    <t>ME-15112021-121</t>
  </si>
  <si>
    <t>HS-11112021-108</t>
  </si>
  <si>
    <t>BOTAS BLN P/MET</t>
  </si>
  <si>
    <t>DELANTALES PVC</t>
  </si>
  <si>
    <t>DIMEX</t>
  </si>
  <si>
    <t>NO TIENEN TALLA 43</t>
  </si>
  <si>
    <t>TALLA 40</t>
  </si>
  <si>
    <t>TALLA 42 Y 43</t>
  </si>
  <si>
    <t>↓</t>
  </si>
  <si>
    <t>ME-11112021-103</t>
  </si>
  <si>
    <t>VARILLAS PLATA 45%</t>
  </si>
  <si>
    <t>VARILLAS DE BRONCE</t>
  </si>
  <si>
    <t>SOLDADURA 60/11 3/32</t>
  </si>
  <si>
    <t>VARILLAS PLATA 5%</t>
  </si>
  <si>
    <t>PROD DEL AIRE</t>
  </si>
  <si>
    <t>CASA DEL SOLDADOR</t>
  </si>
  <si>
    <t>12 VARILLAS</t>
  </si>
  <si>
    <t>SOLO TIENE 7 VARILLAS DISPONIBLES</t>
  </si>
  <si>
    <t>MARCA ESAB</t>
  </si>
  <si>
    <t>ME-11112021-112</t>
  </si>
  <si>
    <t>MYR</t>
  </si>
  <si>
    <t>THERMOSERVICIOS</t>
  </si>
  <si>
    <t>MOTOR LARGO</t>
  </si>
  <si>
    <t>MOTOR PLANO</t>
  </si>
  <si>
    <t>SOLO 2 DISPONIBLES</t>
  </si>
  <si>
    <t>ME-15112021-138</t>
  </si>
  <si>
    <t>MOTOR ARRANQUE</t>
  </si>
  <si>
    <t>EL HERMANO</t>
  </si>
  <si>
    <t>ME-16112021-24</t>
  </si>
  <si>
    <t>TOMAS HEM 220V</t>
  </si>
  <si>
    <t>TOMAS MAC 220V</t>
  </si>
  <si>
    <t>MTS CABLE</t>
  </si>
  <si>
    <t>SUPRINSA</t>
  </si>
  <si>
    <t>ME-16112021-105</t>
  </si>
  <si>
    <t xml:space="preserve">Rotulas </t>
  </si>
  <si>
    <t xml:space="preserve">Rackend </t>
  </si>
  <si>
    <t xml:space="preserve">Terminales de dirección </t>
  </si>
  <si>
    <t xml:space="preserve">Balineras de patentes delanteras </t>
  </si>
  <si>
    <t xml:space="preserve">Linker de barra stabilizadora </t>
  </si>
  <si>
    <t xml:space="preserve">Juego de tacos delanteros </t>
  </si>
  <si>
    <t xml:space="preserve">Juego de tacos traseros </t>
  </si>
  <si>
    <t xml:space="preserve">Tijeras delanteras </t>
  </si>
  <si>
    <t xml:space="preserve">Puntas de flechas </t>
  </si>
  <si>
    <t xml:space="preserve">Emblemas traseros de corolla </t>
  </si>
  <si>
    <t>SUPER REPUESTOS</t>
  </si>
  <si>
    <t>AUTOPARTES MAN</t>
  </si>
  <si>
    <t>ME-18112021-163</t>
  </si>
  <si>
    <t>IMPRESORA</t>
  </si>
  <si>
    <t>CONTADO</t>
  </si>
  <si>
    <t>CRÉDITO</t>
  </si>
  <si>
    <t>MA-19112021-170</t>
  </si>
  <si>
    <t>VALVULAS DE 2"</t>
  </si>
  <si>
    <t>TE 2" GALVANIZADA</t>
  </si>
  <si>
    <t>CODOS GALV 2"X90</t>
  </si>
  <si>
    <t>UNIONES 2"</t>
  </si>
  <si>
    <t>NIPLES 2" X 6"</t>
  </si>
  <si>
    <t>NIPLES 2" X 8"</t>
  </si>
  <si>
    <t>NIPLES 2" X 10"</t>
  </si>
  <si>
    <t>AVINS</t>
  </si>
  <si>
    <t>Puntas de flechas no cumplen especificaciones</t>
  </si>
  <si>
    <t>BG-19112021-168</t>
  </si>
  <si>
    <t>PAPEL TOALLA</t>
  </si>
  <si>
    <t>PAPEL HIGIENICO</t>
  </si>
  <si>
    <t>CJS GUANTES</t>
  </si>
  <si>
    <t>JIP</t>
  </si>
  <si>
    <t>MAQUINSA</t>
  </si>
  <si>
    <t>CEK</t>
  </si>
  <si>
    <t>ME-19112021-176</t>
  </si>
  <si>
    <t>COMPRESOR AIRE</t>
  </si>
  <si>
    <t>CORREA MOTOR</t>
  </si>
  <si>
    <t>NO OFRECE</t>
  </si>
  <si>
    <t>ME-18112021-162</t>
  </si>
  <si>
    <t>FILT COMB ELE</t>
  </si>
  <si>
    <t>FILT COMB MET</t>
  </si>
  <si>
    <t>30% Y 20%</t>
  </si>
  <si>
    <t>FILT COMB</t>
  </si>
  <si>
    <t>ME-22112021-181</t>
  </si>
  <si>
    <t>CRESE</t>
  </si>
  <si>
    <t>PUNTO FRÍO</t>
  </si>
  <si>
    <t>ME-22112021-179</t>
  </si>
  <si>
    <t>HS-22112021-182</t>
  </si>
  <si>
    <t>BOT DE SEGURIDAD</t>
  </si>
  <si>
    <t>GUANTES C/AGARRE</t>
  </si>
  <si>
    <t>DELAN BLNC</t>
  </si>
  <si>
    <t>BOT PVC BLNC</t>
  </si>
  <si>
    <t>BOT P/MET BLN</t>
  </si>
  <si>
    <t>42 Y 43</t>
  </si>
  <si>
    <t xml:space="preserve"> -4 #42</t>
  </si>
  <si>
    <t>ME-22112021-190</t>
  </si>
  <si>
    <t>BOM. CLUTCH CENT</t>
  </si>
  <si>
    <t>BOM. CLUTCH AUX</t>
  </si>
  <si>
    <t>LTS LIQ FRENO</t>
  </si>
  <si>
    <t>P.U</t>
  </si>
  <si>
    <t>SOLO TIENEN TALLA 40 Y 43</t>
  </si>
  <si>
    <t>ME-22112021-178</t>
  </si>
  <si>
    <t>LLAVE PERRA</t>
  </si>
  <si>
    <t>CINCEL DE 10"</t>
  </si>
  <si>
    <t>MAZO GRANDE</t>
  </si>
  <si>
    <t>JUEGO DE BROCAS</t>
  </si>
  <si>
    <t>PRENSA GRANDE</t>
  </si>
  <si>
    <t>CAUTIL</t>
  </si>
  <si>
    <t>JUEGO DE COPA 3/4</t>
  </si>
  <si>
    <t>TORQUE 1/2</t>
  </si>
  <si>
    <t>MULTIMETRO</t>
  </si>
  <si>
    <t>ROMO</t>
  </si>
  <si>
    <t>VE-23112021-251</t>
  </si>
  <si>
    <t>SILLA GIRATORIA</t>
  </si>
  <si>
    <t>OFF SUPPLY</t>
  </si>
  <si>
    <t>INV MSG</t>
  </si>
  <si>
    <t>CT-29112021-234</t>
  </si>
  <si>
    <t>SILLA ESCRITORIO</t>
  </si>
  <si>
    <t>PECSA</t>
  </si>
  <si>
    <t>ME-29112021-247</t>
  </si>
  <si>
    <t>HS-25112021-227</t>
  </si>
  <si>
    <t>DELANTAL AZUL</t>
  </si>
  <si>
    <t>DELANTAL ROJO</t>
  </si>
  <si>
    <t>DELANTAL AMARILLO</t>
  </si>
  <si>
    <t>ANDRÉ</t>
  </si>
  <si>
    <t>ECSESA SOLO EN BLANCO</t>
  </si>
  <si>
    <t>BG-01122021-03</t>
  </si>
  <si>
    <t>CJS MASCARILLAS</t>
  </si>
  <si>
    <t>DISCOS DE FRENO</t>
  </si>
  <si>
    <t>BYM</t>
  </si>
  <si>
    <t>ME-29112021-249</t>
  </si>
  <si>
    <t>ME-29112021-248</t>
  </si>
  <si>
    <t>DISCOS DE CORTE</t>
  </si>
  <si>
    <t>RICHARDSON</t>
  </si>
  <si>
    <t>BG-01122021-02</t>
  </si>
  <si>
    <t>CUBETAS RESISTOL</t>
  </si>
  <si>
    <t>COLOR SUR</t>
  </si>
  <si>
    <t>NO CUMPLEN REQUISITO</t>
  </si>
  <si>
    <t>ME-06122021-22</t>
  </si>
  <si>
    <t>GATAS 2 TON</t>
  </si>
  <si>
    <t>IN-02122021-18</t>
  </si>
  <si>
    <t>Shortline</t>
  </si>
  <si>
    <t>brocas 3/16</t>
  </si>
  <si>
    <t>brocas 1/4</t>
  </si>
  <si>
    <t>brocas 3/8</t>
  </si>
  <si>
    <t>golosos 1 1/2"</t>
  </si>
  <si>
    <t>fast dry</t>
  </si>
  <si>
    <t>thinner</t>
  </si>
  <si>
    <t>BG-06122021-23</t>
  </si>
  <si>
    <t>FERNANDEZ SERA</t>
  </si>
  <si>
    <t>PALETIZANTES</t>
  </si>
  <si>
    <t>ME-06122021-21</t>
  </si>
  <si>
    <t>FILTROS ACEITE</t>
  </si>
  <si>
    <t>FILTROS AIRE</t>
  </si>
  <si>
    <t>FILTRO ELEMENTO</t>
  </si>
  <si>
    <t>ALTERNADOR</t>
  </si>
  <si>
    <t>NO CUMPLE REQUISITO</t>
  </si>
  <si>
    <t>LLANTAS 700R16</t>
  </si>
  <si>
    <t>ME-09122021-47</t>
  </si>
  <si>
    <t>GLN 20W50</t>
  </si>
  <si>
    <t>SUP REP</t>
  </si>
  <si>
    <t>ME-07122021-40</t>
  </si>
  <si>
    <t>ME-09122021-46</t>
  </si>
  <si>
    <t>PORTA LLANTAS</t>
  </si>
  <si>
    <t>PESCANTES DER</t>
  </si>
  <si>
    <t>PESCANTES IZQ</t>
  </si>
  <si>
    <t>DIFUSOR RADIADOR</t>
  </si>
  <si>
    <t>PORTADOR CON TIEMPO DE ESPERA</t>
  </si>
  <si>
    <t>PESCANTE CON TIEMPO DE ESPERA Y SOLO HAY UNO</t>
  </si>
  <si>
    <t>S/O</t>
  </si>
  <si>
    <t>IN-09122021-70</t>
  </si>
  <si>
    <t>REMACHES 1/2X3/16</t>
  </si>
  <si>
    <t>BROCAS 3/16</t>
  </si>
  <si>
    <t>TORNILLOS 1 1/2</t>
  </si>
  <si>
    <t>COPA MAGNETICA</t>
  </si>
  <si>
    <t>LAM 4X8X3MM</t>
  </si>
  <si>
    <t>SPICHES 3/8</t>
  </si>
  <si>
    <t>TORN 1 1/2 X 3/16</t>
  </si>
  <si>
    <t>BROCAS 3/8</t>
  </si>
  <si>
    <t>THINNER</t>
  </si>
  <si>
    <t>CASA PERNO</t>
  </si>
  <si>
    <t>BROCA 3/8 CONCRETO</t>
  </si>
  <si>
    <t>ME-13122021-81</t>
  </si>
  <si>
    <t>INSPECCIONES</t>
  </si>
  <si>
    <t>M&amp;M</t>
  </si>
  <si>
    <t>ROAG</t>
  </si>
  <si>
    <t>BG-13122021-80</t>
  </si>
  <si>
    <t>CINTA CUELLO DE BOLSA</t>
  </si>
  <si>
    <t>SABALLOS</t>
  </si>
  <si>
    <t>FS</t>
  </si>
  <si>
    <t>ETIPLAS</t>
  </si>
  <si>
    <t>BG-13122021-79</t>
  </si>
  <si>
    <t>GORROS</t>
  </si>
  <si>
    <t>P. HIGIENICO</t>
  </si>
  <si>
    <t>P. TOALLA</t>
  </si>
  <si>
    <t>MASCARILLAS</t>
  </si>
  <si>
    <t>OXICORTE ACETILENO</t>
  </si>
  <si>
    <t>GASPRO</t>
  </si>
  <si>
    <t>ME-10122021-74</t>
  </si>
  <si>
    <t>FILTRO ACEITE</t>
  </si>
  <si>
    <t>FILTRO AIRE</t>
  </si>
  <si>
    <t>15W40</t>
  </si>
  <si>
    <t>EXCEL</t>
  </si>
  <si>
    <t>PAIRE</t>
  </si>
  <si>
    <t>C.SOLDADOR</t>
  </si>
  <si>
    <t>ME-13122021-80</t>
  </si>
  <si>
    <t>BOMBILLOS DEL</t>
  </si>
  <si>
    <t>BOMBILLOS TRA</t>
  </si>
  <si>
    <t>BALINERAS DEL</t>
  </si>
  <si>
    <t>BALINERAS TRA</t>
  </si>
  <si>
    <t>RETENEDORES DEL</t>
  </si>
  <si>
    <t>RETENEDORES TRA</t>
  </si>
  <si>
    <t>FRENOS DE NIC</t>
  </si>
  <si>
    <t>REAUTOCAR</t>
  </si>
  <si>
    <t>ME-07122021-38</t>
  </si>
  <si>
    <t>BOMBILLOS FRENO</t>
  </si>
  <si>
    <t>RETENEDORES</t>
  </si>
  <si>
    <t>20 DÍAS DESPUES DE FACTURADO</t>
  </si>
  <si>
    <t>LA REPARACIÓN DE BOMBILLOS C$ 4,830 (PROFORMA ADJUNTA)</t>
  </si>
  <si>
    <t>HS-13122021-77</t>
  </si>
  <si>
    <t>GUANTES CF</t>
  </si>
  <si>
    <t>GUANTES LANA</t>
  </si>
  <si>
    <t>DELANTALES</t>
  </si>
  <si>
    <t>PASA MONTAÑA</t>
  </si>
  <si>
    <t>XL</t>
  </si>
  <si>
    <t>XXL</t>
  </si>
  <si>
    <t>FAJONES L</t>
  </si>
  <si>
    <t>FAJONES XL</t>
  </si>
  <si>
    <t>FAJONES XXL</t>
  </si>
  <si>
    <t>ME-15122021-102</t>
  </si>
  <si>
    <t>BATERÍAS</t>
  </si>
  <si>
    <t>30%, 35% Y 25%</t>
  </si>
  <si>
    <t>BG-14122021-88</t>
  </si>
  <si>
    <t>CONTROL INVENTARIOS</t>
  </si>
  <si>
    <t>RECIBO DEVOLUCIÓN MERCADERÍA</t>
  </si>
  <si>
    <t>LIT BERRÍOS</t>
  </si>
  <si>
    <t>COPY FAST</t>
  </si>
  <si>
    <t>PUBLI FRIENDS</t>
  </si>
  <si>
    <t>IMVASA</t>
  </si>
  <si>
    <t>ME-17122021-131</t>
  </si>
  <si>
    <t>MAZO HOJAS RESORTE</t>
  </si>
  <si>
    <t>RUBIO</t>
  </si>
  <si>
    <t>PACHECO</t>
  </si>
  <si>
    <t>SEMINUEVO</t>
  </si>
  <si>
    <t>BG-18122021-137</t>
  </si>
  <si>
    <t>ALCOHOL GEL</t>
  </si>
  <si>
    <t>ALKEMY</t>
  </si>
  <si>
    <t>SUQUINSA</t>
  </si>
  <si>
    <t>BG-18122021-138</t>
  </si>
  <si>
    <t>GUANTES DESECHABLES</t>
  </si>
  <si>
    <t>FARMA ECO</t>
  </si>
  <si>
    <t>PAPEL TOALLA NO CUMPLE REQUISITOS</t>
  </si>
  <si>
    <t>GUANTES NO CUMPLEN REQUISITO</t>
  </si>
  <si>
    <t>ME-17122021-132</t>
  </si>
  <si>
    <t>BORNES POSITIVOS</t>
  </si>
  <si>
    <t>BORNES NEGATIVOS</t>
  </si>
  <si>
    <t>MANGUERAS</t>
  </si>
  <si>
    <t>MADINISA</t>
  </si>
  <si>
    <t>ME-20122021-154</t>
  </si>
  <si>
    <t>BG-23122021-169</t>
  </si>
  <si>
    <t>HS-21122021-160</t>
  </si>
  <si>
    <t>tijera para trauma</t>
  </si>
  <si>
    <t>vendas gasas de 6 cm</t>
  </si>
  <si>
    <t>vendas gasas 10 cm</t>
  </si>
  <si>
    <t>branula 18 mm</t>
  </si>
  <si>
    <t>branula 20 mm</t>
  </si>
  <si>
    <t>caja de apositos</t>
  </si>
  <si>
    <t>boquilla rcp</t>
  </si>
  <si>
    <t>collarín</t>
  </si>
  <si>
    <t>cabestrillo</t>
  </si>
  <si>
    <t>esparadrapos transparente</t>
  </si>
  <si>
    <t>tapón, sello venoso</t>
  </si>
  <si>
    <t>solución salina 500 ml</t>
  </si>
  <si>
    <t>vendas elásticas de 10 cm</t>
  </si>
  <si>
    <t>SABA</t>
  </si>
  <si>
    <t>jeringas de 5 CC</t>
  </si>
  <si>
    <t>ME-27122021-203</t>
  </si>
  <si>
    <t>POLEAS TENSORAS</t>
  </si>
  <si>
    <t>ME-27122021-189</t>
  </si>
  <si>
    <t>JUEGO BUJES</t>
  </si>
  <si>
    <t>INSTALACIÓN BUJES</t>
  </si>
  <si>
    <t>JOHANILLO</t>
  </si>
  <si>
    <t>PROGRESO</t>
  </si>
  <si>
    <t>BG-27122021-186</t>
  </si>
  <si>
    <t>SOLICITUD DE COMPRA</t>
  </si>
  <si>
    <t>REQUISAS MP</t>
  </si>
  <si>
    <t>M&amp;R ART MED</t>
  </si>
  <si>
    <t>ME-27122021-199</t>
  </si>
  <si>
    <t>CLUTCH CENTRAL</t>
  </si>
  <si>
    <t>CLUTCH AUXILIAR</t>
  </si>
  <si>
    <t>CUBETA 15W40</t>
  </si>
  <si>
    <t>FILTR ACEITE</t>
  </si>
  <si>
    <t>ME-27122021-188</t>
  </si>
  <si>
    <t>CORREA 17390</t>
  </si>
  <si>
    <t>CORREA A31</t>
  </si>
  <si>
    <t>CORREA ALTERNADOR</t>
  </si>
  <si>
    <t>BALINERA 33210</t>
  </si>
  <si>
    <t>BALINERA 32207</t>
  </si>
  <si>
    <t>GRUPO TITO</t>
  </si>
  <si>
    <t>REPUESTOS NIC</t>
  </si>
  <si>
    <t>12% Y 20%</t>
  </si>
  <si>
    <t>ME-04012022-14</t>
  </si>
  <si>
    <t>BURROS 3 TON</t>
  </si>
  <si>
    <t>GATAS 3 TON</t>
  </si>
  <si>
    <t>ME-07012022-50</t>
  </si>
  <si>
    <t>BRAVO GROUP</t>
  </si>
  <si>
    <t>MULTISERVICIOS</t>
  </si>
  <si>
    <t>HS-07012022-34</t>
  </si>
  <si>
    <t>GUANTES NITRILO</t>
  </si>
  <si>
    <t>BOT BLNCS</t>
  </si>
  <si>
    <t>NGRS P/MET</t>
  </si>
  <si>
    <t>BLNCS P/MET</t>
  </si>
  <si>
    <t>ME-07012022-48</t>
  </si>
  <si>
    <t>ME-07012022-49</t>
  </si>
  <si>
    <t>COMPRESORES 24V</t>
  </si>
  <si>
    <t>BG-10012022-54</t>
  </si>
  <si>
    <t>RECIBO ENTREGA DINERO VENDEDORES</t>
  </si>
  <si>
    <t>BG-10012022-55</t>
  </si>
  <si>
    <t>BG-10012022-57</t>
  </si>
  <si>
    <t>Caja de Clan mediano</t>
  </si>
  <si>
    <t>clan pequeño</t>
  </si>
  <si>
    <t>clan grande</t>
  </si>
  <si>
    <t>postikcs</t>
  </si>
  <si>
    <t>OFFICE SUPPLY</t>
  </si>
  <si>
    <t>PASAMONTAÑAS</t>
  </si>
  <si>
    <t>DIST ROCHA</t>
  </si>
  <si>
    <t>HS-12012022-75</t>
  </si>
  <si>
    <t>BOTAS CUERO #42</t>
  </si>
  <si>
    <t>BG-17012022-98</t>
  </si>
  <si>
    <t>ME-13012022-83</t>
  </si>
  <si>
    <t>balineras patente del.</t>
  </si>
  <si>
    <t>jgo tacos freno</t>
  </si>
  <si>
    <t>tope tijeras</t>
  </si>
  <si>
    <t>tijeras superiores</t>
  </si>
  <si>
    <t>correa alternador</t>
  </si>
  <si>
    <t>correa power steal</t>
  </si>
  <si>
    <t>correa compresor</t>
  </si>
  <si>
    <t>bujes barra tensora</t>
  </si>
  <si>
    <t>AUTOPARTES MANAGUA</t>
  </si>
  <si>
    <t>ME-12012022-72</t>
  </si>
  <si>
    <t>AMORTIGUADORES DEL</t>
  </si>
  <si>
    <t>AMORTIGUADORES TRA</t>
  </si>
  <si>
    <t>BUJES BARRA ESTAB</t>
  </si>
  <si>
    <t>SPARRAGOS LH/RH</t>
  </si>
  <si>
    <t>CHIVOS LH/RH</t>
  </si>
  <si>
    <t>BASE DEPUR. DE AIRE</t>
  </si>
  <si>
    <t>TAPONES DE TANQUE</t>
  </si>
  <si>
    <t>ART. CAJA DE TIMON</t>
  </si>
  <si>
    <t>TERMINALES DIREC</t>
  </si>
  <si>
    <t>AMORT. TRA.</t>
  </si>
  <si>
    <t>PEDIDO ESPECIAL (CORREO ADJUNTO)</t>
  </si>
  <si>
    <t>ME-13012022-84</t>
  </si>
  <si>
    <t>BG-18012022-127</t>
  </si>
  <si>
    <t>BG-17012022-106</t>
  </si>
  <si>
    <t>BOLSAS 24"X30"</t>
  </si>
  <si>
    <t>ME-19012022-136</t>
  </si>
  <si>
    <t>KIT MANOMETRO</t>
  </si>
  <si>
    <t>VALVULA ALTA PRESION</t>
  </si>
  <si>
    <t>VALVULA BAJA PRESION</t>
  </si>
  <si>
    <t>REF TOTAL</t>
  </si>
  <si>
    <t>ME-14012022-94</t>
  </si>
  <si>
    <t>FILTRO DE ELEMENTO</t>
  </si>
  <si>
    <t>FILTRO COMBUSTIBLE</t>
  </si>
  <si>
    <t>SyE PT P/REM. Y REC</t>
  </si>
  <si>
    <t>RETENCIÓN IR</t>
  </si>
  <si>
    <t>IPSA</t>
  </si>
  <si>
    <t>LIT BERRIOS</t>
  </si>
  <si>
    <t>BG-17012022-97</t>
  </si>
  <si>
    <t>JGO DESARMADOR</t>
  </si>
  <si>
    <t>ALICATE</t>
  </si>
  <si>
    <t>COPINSO</t>
  </si>
  <si>
    <t>TACOS FRENO</t>
  </si>
  <si>
    <t>BALINERAS DELANTERA</t>
  </si>
  <si>
    <t>AMORTIGUADOR DEL</t>
  </si>
  <si>
    <t>AMORTIGUADOR TR</t>
  </si>
  <si>
    <t>BOMBILLOS FRENO TR</t>
  </si>
  <si>
    <t>TIJERAS INFERIORES</t>
  </si>
  <si>
    <t>RACKEND</t>
  </si>
  <si>
    <t>TERMINALES DIRECCION</t>
  </si>
  <si>
    <t>BATERIA 12 VOLT</t>
  </si>
  <si>
    <t>CORREA DE ALTERNADOR</t>
  </si>
  <si>
    <t>REP. NIC.</t>
  </si>
  <si>
    <t>BG-24012022-163</t>
  </si>
  <si>
    <t>PLASTICO NEGRO</t>
  </si>
  <si>
    <t>BOLSAS MEDIANAS</t>
  </si>
  <si>
    <t>BOLSAS GRANDES</t>
  </si>
  <si>
    <t>BG-20012022-145</t>
  </si>
  <si>
    <t>SOLICITUD DE EMPLEO</t>
  </si>
  <si>
    <t>HOJA CONTROL ELAB.</t>
  </si>
  <si>
    <t>HOJA CONTROL EMP.</t>
  </si>
  <si>
    <t>MEMBRETADAS</t>
  </si>
  <si>
    <t>SOLICITUD MANTENIMIENTO</t>
  </si>
  <si>
    <t>IDEAS</t>
  </si>
  <si>
    <t>ALONICA</t>
  </si>
  <si>
    <t>ME-24012022-160</t>
  </si>
  <si>
    <t>BRIDAS LARGAS</t>
  </si>
  <si>
    <t>BRIDAS SIN FIN</t>
  </si>
  <si>
    <t>DISCOS CORTE</t>
  </si>
  <si>
    <t>FETESA</t>
  </si>
  <si>
    <t>ME-24012022-162</t>
  </si>
  <si>
    <t>Pernos Acero Negro</t>
  </si>
  <si>
    <t>Tuercas</t>
  </si>
  <si>
    <t>Arandela lisa</t>
  </si>
  <si>
    <t>Arandela presion</t>
  </si>
  <si>
    <t>CASA DEL PERNO</t>
  </si>
  <si>
    <t>NO CUMPLE REQUISITO (ACERO NEGRO)</t>
  </si>
  <si>
    <t>ME-26012022-199</t>
  </si>
  <si>
    <t>NUEVO</t>
  </si>
  <si>
    <t>ME-27012022-203</t>
  </si>
  <si>
    <t>AIRE ACONDICIONADO</t>
  </si>
  <si>
    <t>TANQUE FREON 404A</t>
  </si>
  <si>
    <t>ME-24012022-73</t>
  </si>
  <si>
    <t>BOTAS #40</t>
  </si>
  <si>
    <t>BOTAS #41</t>
  </si>
  <si>
    <t>CASA SOLDADOR</t>
  </si>
  <si>
    <t>ME-27012022-205</t>
  </si>
  <si>
    <t>RADIADOR</t>
  </si>
  <si>
    <t>CORREA COMPRESOR</t>
  </si>
  <si>
    <t>REP NIC</t>
  </si>
  <si>
    <t>ME-27012022-204</t>
  </si>
  <si>
    <t xml:space="preserve"> 1 / 4</t>
  </si>
  <si>
    <t>FASTYL BLANCO</t>
  </si>
  <si>
    <t>ESPICHES TIPO MARIPOSA</t>
  </si>
  <si>
    <t>TUBO SILICON</t>
  </si>
  <si>
    <t>TUBO PVC 1/2"</t>
  </si>
  <si>
    <t>UNIONES PVC 1/2"</t>
  </si>
  <si>
    <t>TORNILLOS 1/4</t>
  </si>
  <si>
    <t>PERNOS PUNTA BROCA 1/2</t>
  </si>
  <si>
    <t>PERNOS GOLOSOS 5/8</t>
  </si>
  <si>
    <t>BG-01022022-008</t>
  </si>
  <si>
    <t>BG-01022022-007</t>
  </si>
  <si>
    <t>TARJETAS DE CONTROL DE INVENTARIO</t>
  </si>
  <si>
    <t>VERDES</t>
  </si>
  <si>
    <t>VERDE MENTA</t>
  </si>
  <si>
    <t>AMARILLA</t>
  </si>
  <si>
    <t>AZUL</t>
  </si>
  <si>
    <t>BLANCAS</t>
  </si>
  <si>
    <t>ANARANJADAS</t>
  </si>
  <si>
    <t>CELESTE</t>
  </si>
  <si>
    <t>ROSADO</t>
  </si>
  <si>
    <t>GRIS</t>
  </si>
  <si>
    <t>COPYFAST</t>
  </si>
  <si>
    <t xml:space="preserve"> BG-07022022-26</t>
  </si>
  <si>
    <t>CU. RESISTOL BLNC</t>
  </si>
  <si>
    <t>SUR</t>
  </si>
  <si>
    <t>GALONES</t>
  </si>
  <si>
    <t>CUBETAS</t>
  </si>
  <si>
    <t>HS-04022022-25</t>
  </si>
  <si>
    <t>DELANTALES BLNC</t>
  </si>
  <si>
    <t>DELANTALES ROJO</t>
  </si>
  <si>
    <t>BOT BLNCS P/MET</t>
  </si>
  <si>
    <t>L</t>
  </si>
  <si>
    <t>M</t>
  </si>
  <si>
    <t>FAJONES LUMB</t>
  </si>
  <si>
    <t>SELLO "GRABADO BODEGA"</t>
  </si>
  <si>
    <t>BG-07022022-27</t>
  </si>
  <si>
    <t>PUBLIFRIENDS</t>
  </si>
  <si>
    <t>ME-08022022-41</t>
  </si>
  <si>
    <t>BUJÍAS 24 VOLT 1 FIL</t>
  </si>
  <si>
    <t>BUJÍAS 24 VOLT 2 FIL</t>
  </si>
  <si>
    <t>BUJÍAS 12 VOLT 1 FIL</t>
  </si>
  <si>
    <t>BUJÍAS 12 VOLT 2 FIL</t>
  </si>
  <si>
    <t>ME-08022022-42</t>
  </si>
  <si>
    <t>HOJAS RESORTE</t>
  </si>
  <si>
    <t>ME-08022022-54</t>
  </si>
  <si>
    <t>ME-26012022-202</t>
  </si>
  <si>
    <t>ME-07022022-55</t>
  </si>
  <si>
    <t>THERMO</t>
  </si>
  <si>
    <t>CONDENSADORES</t>
  </si>
  <si>
    <t>VALVULAS EXPAN</t>
  </si>
  <si>
    <t>CAHA RELAY</t>
  </si>
  <si>
    <t>SWITCH S. MUESTRA</t>
  </si>
  <si>
    <t>BUJIAS 1 FIL</t>
  </si>
  <si>
    <t>BUJIAS 2 FIL</t>
  </si>
  <si>
    <t>BUJIAS 12VOLT</t>
  </si>
  <si>
    <t>CEPO 1 CONTACT</t>
  </si>
  <si>
    <t>CEPO 2 CONTACT</t>
  </si>
  <si>
    <t>CEPO MEDIANO</t>
  </si>
  <si>
    <t>SOLO 1 DISPONIBLE</t>
  </si>
  <si>
    <t>ME-10022022-71</t>
  </si>
  <si>
    <t>filtros aceite elemento</t>
  </si>
  <si>
    <t>filtros aire</t>
  </si>
  <si>
    <t>filtros combustible Ep.</t>
  </si>
  <si>
    <t>filtros combustible Eg.</t>
  </si>
  <si>
    <t>filtros aceite</t>
  </si>
  <si>
    <t>filtros combustible</t>
  </si>
  <si>
    <t>lit liquido de freno</t>
  </si>
  <si>
    <t>kit de embrague</t>
  </si>
  <si>
    <t>BG-10022022-56</t>
  </si>
  <si>
    <t>BG-15022022-74</t>
  </si>
  <si>
    <t>FARMA-ECO</t>
  </si>
  <si>
    <t>HULEPLASTIC</t>
  </si>
  <si>
    <t>MATERIAL SUELTA PELUSA</t>
  </si>
  <si>
    <t>ME-15022022-82</t>
  </si>
  <si>
    <t>LLANTAS Nº700R16</t>
  </si>
  <si>
    <t>BG-15022022-90</t>
  </si>
  <si>
    <t>ME-10022022-83</t>
  </si>
  <si>
    <t>FUNDENTE ALUM</t>
  </si>
  <si>
    <t>VARILLAS ALUM</t>
  </si>
  <si>
    <t>TUERCAS FLER 3/8</t>
  </si>
  <si>
    <t>TUERCAS FLER 1/2</t>
  </si>
  <si>
    <t>TUERCAS FLER 1/4</t>
  </si>
  <si>
    <t>FRIO AIRE</t>
  </si>
  <si>
    <t>PROD AIRE</t>
  </si>
  <si>
    <t>papel continuo</t>
  </si>
  <si>
    <t>posticks</t>
  </si>
  <si>
    <t>saca grapa</t>
  </si>
  <si>
    <t>fastener</t>
  </si>
  <si>
    <t>BG-15022022-85</t>
  </si>
  <si>
    <t>ME-15022022-81</t>
  </si>
  <si>
    <t>BATERIAS</t>
  </si>
  <si>
    <t>MORDAZAS FRENO</t>
  </si>
  <si>
    <t>LIQ FRENO</t>
  </si>
  <si>
    <t>JGO TACOS FRENO</t>
  </si>
  <si>
    <t>POR PEDIDO
DETALLE ADJUNTO</t>
  </si>
  <si>
    <t>BG-18022022-99</t>
  </si>
  <si>
    <t>ETIPLAST</t>
  </si>
  <si>
    <t>BG-21022022-118</t>
  </si>
  <si>
    <t>PROVEEDORES</t>
  </si>
  <si>
    <t>DESCRIPCIÓN</t>
  </si>
  <si>
    <t>SUB TOTAL</t>
  </si>
  <si>
    <t>SUBTOTAL CON DESCUENTO</t>
  </si>
  <si>
    <t>Reparación de Carrocería (Reemplazo de Chasis):
+ Cambio de Reglas de Madera
+ Reparación de Brisera
Remover piso de Aluminio acanalado, Limpieza de piso, Resellado de piso y Reinstalar piso con goloso en Acero
inoxidable
Bumpers de Hule 3"x 6 "</t>
  </si>
  <si>
    <t xml:space="preserve"> - Desintalar cajon
- Eliminar los largueros y Travesaños en tubos cuadrados deteriorados por corrosion e instalando viga U
- Instalar travesaños y largueros en Viga U, en piso inferior de carroceria marca polar
- Instalar nuevamente cajon
- Fijar piso c/remaches de impacto
Nota:
El marco del piso del cajon quedara igual con su estructura en tubo cuadrado ya que no es posible quitarlo debido a su diseño de Fabrica.
Se reemplazara largueros y travesaños
Las partes corroidas seran reemplazadas</t>
  </si>
  <si>
    <t>TIEMPO DE EJECUCIÓN</t>
  </si>
  <si>
    <t>6 días hábiles</t>
  </si>
  <si>
    <t>1 semana</t>
  </si>
  <si>
    <t>Precio especial</t>
  </si>
  <si>
    <t>ME-21022022-125</t>
  </si>
  <si>
    <t>BALINERAS 32211</t>
  </si>
  <si>
    <t>BALINERAS 32212</t>
  </si>
  <si>
    <t>PAINASA</t>
  </si>
  <si>
    <t>GRUPO TITOS</t>
  </si>
  <si>
    <t>TOTAL 1 VEHÍCULO</t>
  </si>
  <si>
    <t>GRAN TOTAL 2 VEHÍCULOS</t>
  </si>
  <si>
    <t>ME-23022022-136</t>
  </si>
  <si>
    <t>BALINERAS 32207</t>
  </si>
  <si>
    <t>BALINERAS 33210</t>
  </si>
  <si>
    <t>BALINERA PIÑON</t>
  </si>
  <si>
    <t>BALINERA</t>
  </si>
  <si>
    <t>BALINERAS CORONA</t>
  </si>
  <si>
    <t>RETENEDOR</t>
  </si>
  <si>
    <t>KOYO</t>
  </si>
  <si>
    <t>ICHIBAN Y MAKATO</t>
  </si>
  <si>
    <t>SAIKO</t>
  </si>
  <si>
    <t>ME-21022022-126</t>
  </si>
  <si>
    <t>80W90</t>
  </si>
  <si>
    <t>HINO EN NEGRO</t>
  </si>
  <si>
    <t>COMERSA</t>
  </si>
  <si>
    <t>OTRAS MARCAS EN NEGRO</t>
  </si>
  <si>
    <t>HINO EN BLANCO</t>
  </si>
  <si>
    <t>LODERAS (5 PARES)</t>
  </si>
  <si>
    <t>ME-23022022-147</t>
  </si>
  <si>
    <t xml:space="preserve"> EL HERMANO</t>
  </si>
  <si>
    <t>SIN STOCK</t>
  </si>
  <si>
    <t>COMPRESORES</t>
  </si>
  <si>
    <t>MEGA GREY</t>
  </si>
  <si>
    <t>CASA MANGUERAS</t>
  </si>
  <si>
    <t>HS-25022022-149</t>
  </si>
  <si>
    <t>GUANTES NEOPRENO</t>
  </si>
  <si>
    <t>OREJERAS</t>
  </si>
  <si>
    <t>MAR</t>
  </si>
  <si>
    <t>ME-28022022-153</t>
  </si>
  <si>
    <t>CONTROL TEMP 24V</t>
  </si>
  <si>
    <t>5 DISPONIBLES</t>
  </si>
  <si>
    <t>ME-01032022-07</t>
  </si>
  <si>
    <t>ME-01032022-009</t>
  </si>
  <si>
    <t>MAP GAS</t>
  </si>
  <si>
    <t>TECNISERVICIOS H2MIL</t>
  </si>
  <si>
    <t>ESPUMA POLIURETANO</t>
  </si>
  <si>
    <t>BG-24022022-159</t>
  </si>
  <si>
    <t>COMPROBANTE CAJA CH VENTAS</t>
  </si>
  <si>
    <t>BG-04032022-17</t>
  </si>
  <si>
    <t>ME-08032022-38</t>
  </si>
  <si>
    <t>remaches 5/32 x 1/2“</t>
  </si>
  <si>
    <t>brocas 5/32</t>
  </si>
  <si>
    <t>remachadora</t>
  </si>
  <si>
    <t>thiner</t>
  </si>
  <si>
    <t>pliegos de lijas de agua #80</t>
  </si>
  <si>
    <t>pliegos de lijas de agua #120</t>
  </si>
  <si>
    <t xml:space="preserve">cautil fino para soldar estaño </t>
  </si>
  <si>
    <t>1/4 fastdry blanco</t>
  </si>
  <si>
    <t>NUBIA ESTRADA</t>
  </si>
  <si>
    <t>1/4 masilla</t>
  </si>
  <si>
    <t>tanque de freón R600</t>
  </si>
  <si>
    <t>kg R600 freón</t>
  </si>
  <si>
    <t xml:space="preserve">kg R290 freón </t>
  </si>
  <si>
    <t>tanques de refrigerante 404A</t>
  </si>
  <si>
    <t>REFRIGERACION TOTAL</t>
  </si>
  <si>
    <t>R600</t>
  </si>
  <si>
    <t>420GR</t>
  </si>
  <si>
    <t>R290</t>
  </si>
  <si>
    <t>400GR</t>
  </si>
  <si>
    <t>404A</t>
  </si>
  <si>
    <t>24LBS</t>
  </si>
  <si>
    <t>BG-04032022-20</t>
  </si>
  <si>
    <t>MPC CUARTOS FRÍOS</t>
  </si>
  <si>
    <t>ME-08032022-60</t>
  </si>
  <si>
    <t>GATA BOTELLA 15 TON</t>
  </si>
  <si>
    <t>20 TON</t>
  </si>
  <si>
    <t>ME-09032022-56</t>
  </si>
  <si>
    <t>Nº195R15</t>
  </si>
  <si>
    <t>BALANCEO</t>
  </si>
  <si>
    <t>ALINEACIÓN</t>
  </si>
  <si>
    <t xml:space="preserve">205/70R15C en CST, </t>
  </si>
  <si>
    <t xml:space="preserve">que es 1 cm más ancha </t>
  </si>
  <si>
    <t>ME-07032022-41</t>
  </si>
  <si>
    <t>BOMBA CENTRAL</t>
  </si>
  <si>
    <t>TACOS</t>
  </si>
  <si>
    <t>FRICCIONES</t>
  </si>
  <si>
    <t>ME-07032022-24</t>
  </si>
  <si>
    <t>CUBETA GRASA</t>
  </si>
  <si>
    <t>ENGRASADORA</t>
  </si>
  <si>
    <t>ME-11032022-62</t>
  </si>
  <si>
    <t>EL RUBIO</t>
  </si>
  <si>
    <t>ME-11032022-66</t>
  </si>
  <si>
    <t>ZAPATAS FRENO</t>
  </si>
  <si>
    <t>CINTAS ANTIDERRAPANTES</t>
  </si>
  <si>
    <t>ISA SAFETY</t>
  </si>
  <si>
    <t>MANTICA FARACH</t>
  </si>
  <si>
    <t>SUMINISTROS INTEGRALES</t>
  </si>
  <si>
    <t>CRUZ LORENA</t>
  </si>
  <si>
    <t>50% Y 38%</t>
  </si>
  <si>
    <t>ALTERNADORES 12VOLT</t>
  </si>
  <si>
    <t>ME-16032022-96</t>
  </si>
  <si>
    <t>BG-11032022-82</t>
  </si>
  <si>
    <t>INPROCEAMERICA</t>
  </si>
  <si>
    <t>PLASTIC MODER</t>
  </si>
  <si>
    <t>B.G. GRANDES</t>
  </si>
  <si>
    <t>B.G. MEDIANAS</t>
  </si>
  <si>
    <t>B. P/BASURA</t>
  </si>
  <si>
    <t>SALDO A FAVOR $27.57</t>
  </si>
  <si>
    <t>Llave crecen de 8”</t>
  </si>
  <si>
    <t>Llave crecen de 12”</t>
  </si>
  <si>
    <t>Tenaza perra de presión</t>
  </si>
  <si>
    <t>Juego de desarmadores de estrella y ranura</t>
  </si>
  <si>
    <t>Picuda</t>
  </si>
  <si>
    <t>Alicate grande</t>
  </si>
  <si>
    <t>Juego de llaves alen milimetricas y pulgadas</t>
  </si>
  <si>
    <t>Prensa terminales</t>
  </si>
  <si>
    <t>Juego de llaves fijas de 8mm – 27mm</t>
  </si>
  <si>
    <t>Juego de llave torx</t>
  </si>
  <si>
    <t>Cortadora de alambres</t>
  </si>
  <si>
    <t>Juego desarmador flexible de puntas intercambiables torx</t>
  </si>
  <si>
    <t>Pico de lora</t>
  </si>
  <si>
    <t>Juego de desarmadores de caja o backum</t>
  </si>
  <si>
    <t>Juego de desarmadores de presicion</t>
  </si>
  <si>
    <t>Cinta metrica</t>
  </si>
  <si>
    <t>Juego de puntas magneticas para taladro</t>
  </si>
  <si>
    <t>Juego de mangueras para manometro R22</t>
  </si>
  <si>
    <t>Ecovalvula</t>
  </si>
  <si>
    <t>Valvula de carga para A/A de vehiculos livianos</t>
  </si>
  <si>
    <t>Kit de acoples para compresor de bronce</t>
  </si>
  <si>
    <t>Termometro digital</t>
  </si>
  <si>
    <t>Kit de empaques para mangueras de manometros</t>
  </si>
  <si>
    <t>Detector de fugas</t>
  </si>
  <si>
    <t>Detector de fuga electronico</t>
  </si>
  <si>
    <t>Mascara de soldar con vidrio numero 12</t>
  </si>
  <si>
    <t>Regulador de tanque de oxigeno y acetileno</t>
  </si>
  <si>
    <t>Fundente para soldar aluminio</t>
  </si>
  <si>
    <t>pies de tuberia 5/8 cobre</t>
  </si>
  <si>
    <t>pies de tuberia 1/4 cobre</t>
  </si>
  <si>
    <t>varillas de soldar 45% acero plata</t>
  </si>
  <si>
    <t>varillas de acero plata 5%</t>
  </si>
  <si>
    <t>glns de aceite poliester</t>
  </si>
  <si>
    <t>varillas de soldar de aluminio</t>
  </si>
  <si>
    <t>remaches 5/32 x 1”</t>
  </si>
  <si>
    <t>brocas 5/32 aceradas</t>
  </si>
  <si>
    <t>PALETIZANTE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</si>
</sst>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[$C$-4C0A]* #,##0.00_-;\-[$C$-4C0A]* #,##0.00_-;_-[$C$-4C0A]* &quot;-&quot;??_-;_-@_-"/>
    <numFmt numFmtId="165" formatCode="_-[$$-409]* #,##0.00_ ;_-[$$-409]* \-#,##0.00\ ;_-[$$-409]* &quot;-&quot;??_ ;_-@_ "/>
    <numFmt numFmtId="166" formatCode="_-[$$-540A]* #,##0.00_ ;_-[$$-540A]* \-#,##0.00\ ;_-[$$-540A]* &quot;-&quot;??_ ;_-@_ "/>
    <numFmt numFmtId="167" formatCode="0.000"/>
  </numFmts>
  <fonts count="7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0"/>
      <name val="Calibri"/>
      <family val="2"/>
      <scheme val="minor"/>
    </font>
    <font>
      <sz val="13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3"/>
      <color theme="0"/>
      <name val="Calibri"/>
      <family val="2"/>
      <scheme val="minor"/>
    </font>
    <font>
      <b/>
      <sz val="13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i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sz val="13"/>
      <color rgb="FFFF0000"/>
      <name val="Calibri"/>
      <family val="2"/>
      <scheme val="minor"/>
    </font>
    <font>
      <sz val="10.5"/>
      <color theme="1"/>
      <name val="Calibri"/>
      <family val="2"/>
      <scheme val="minor"/>
    </font>
    <font>
      <sz val="10.5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i/>
      <sz val="10.5"/>
      <color theme="0"/>
      <name val="Calibri"/>
      <family val="2"/>
      <scheme val="minor"/>
    </font>
    <font>
      <b/>
      <sz val="10.5"/>
      <name val="Calibri"/>
      <family val="2"/>
      <scheme val="minor"/>
    </font>
    <font>
      <sz val="10.5"/>
      <name val="Calibri"/>
      <family val="2"/>
    </font>
    <font>
      <b/>
      <sz val="10.5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u/>
      <sz val="13"/>
      <color theme="1"/>
      <name val="Calibri"/>
      <family val="2"/>
      <scheme val="minor"/>
    </font>
    <font>
      <u val="singleAccounting"/>
      <sz val="13"/>
      <name val="Calibri"/>
      <family val="2"/>
      <scheme val="minor"/>
    </font>
    <font>
      <sz val="9.1"/>
      <color theme="1"/>
      <name val="Calibri"/>
      <family val="2"/>
      <scheme val="minor"/>
    </font>
    <font>
      <sz val="9.1"/>
      <name val="Calibri"/>
      <family val="2"/>
      <scheme val="minor"/>
    </font>
    <font>
      <b/>
      <sz val="9.1"/>
      <color theme="0"/>
      <name val="Calibri"/>
      <family val="2"/>
      <scheme val="minor"/>
    </font>
    <font>
      <b/>
      <i/>
      <sz val="9.1"/>
      <color theme="0"/>
      <name val="Calibri"/>
      <family val="2"/>
      <scheme val="minor"/>
    </font>
    <font>
      <b/>
      <sz val="9.1"/>
      <name val="Calibri"/>
      <family val="2"/>
      <scheme val="minor"/>
    </font>
    <font>
      <b/>
      <sz val="9.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i/>
      <sz val="9"/>
      <color theme="0"/>
      <name val="Calibri"/>
      <family val="2"/>
      <scheme val="minor"/>
    </font>
    <font>
      <b/>
      <sz val="9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sz val="11.5"/>
      <name val="Calibri"/>
      <family val="2"/>
      <scheme val="minor"/>
    </font>
    <font>
      <b/>
      <sz val="11.5"/>
      <color theme="0"/>
      <name val="Calibri"/>
      <family val="2"/>
      <scheme val="minor"/>
    </font>
    <font>
      <b/>
      <i/>
      <sz val="11.5"/>
      <color theme="0"/>
      <name val="Calibri"/>
      <family val="2"/>
      <scheme val="minor"/>
    </font>
    <font>
      <b/>
      <sz val="11.5"/>
      <name val="Calibri"/>
      <family val="2"/>
      <scheme val="minor"/>
    </font>
    <font>
      <b/>
      <sz val="11.5"/>
      <color theme="1"/>
      <name val="Calibri"/>
      <family val="2"/>
      <scheme val="minor"/>
    </font>
    <font>
      <u/>
      <sz val="11.5"/>
      <name val="Calibri"/>
      <family val="2"/>
      <scheme val="minor"/>
    </font>
    <font>
      <sz val="8"/>
      <name val="Calibri"/>
      <family val="2"/>
      <scheme val="minor"/>
    </font>
    <font>
      <b/>
      <u/>
      <sz val="9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0.79998168889431442"/>
        <bgColor indexed="64"/>
      </patternFill>
    </fill>
  </fills>
  <borders count="10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/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ashed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17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/>
    </xf>
    <xf numFmtId="43" fontId="2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4" fillId="0" borderId="1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center" wrapText="1"/>
    </xf>
    <xf numFmtId="0" fontId="4" fillId="0" borderId="13" xfId="0" applyFont="1" applyFill="1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4" fillId="0" borderId="9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7" fillId="2" borderId="19" xfId="0" applyFont="1" applyFill="1" applyBorder="1" applyAlignment="1">
      <alignment horizontal="center" vertical="center"/>
    </xf>
    <xf numFmtId="0" fontId="7" fillId="2" borderId="2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7" fillId="2" borderId="26" xfId="0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/>
    </xf>
    <xf numFmtId="164" fontId="4" fillId="0" borderId="30" xfId="0" applyNumberFormat="1" applyFont="1" applyFill="1" applyBorder="1" applyAlignment="1">
      <alignment horizontal="center"/>
    </xf>
    <xf numFmtId="164" fontId="4" fillId="0" borderId="31" xfId="0" applyNumberFormat="1" applyFont="1" applyFill="1" applyBorder="1" applyAlignment="1">
      <alignment horizontal="center"/>
    </xf>
    <xf numFmtId="164" fontId="4" fillId="0" borderId="29" xfId="0" applyNumberFormat="1" applyFont="1" applyFill="1" applyBorder="1" applyAlignment="1">
      <alignment horizontal="center"/>
    </xf>
    <xf numFmtId="164" fontId="4" fillId="0" borderId="32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8" fillId="2" borderId="37" xfId="0" applyFont="1" applyFill="1" applyBorder="1" applyAlignment="1">
      <alignment horizontal="right" vertical="center"/>
    </xf>
    <xf numFmtId="0" fontId="8" fillId="2" borderId="38" xfId="0" applyFont="1" applyFill="1" applyBorder="1" applyAlignment="1">
      <alignment horizontal="left" vertical="center"/>
    </xf>
    <xf numFmtId="0" fontId="3" fillId="2" borderId="39" xfId="0" applyFont="1" applyFill="1" applyBorder="1" applyAlignment="1">
      <alignment horizontal="center" vertical="center"/>
    </xf>
    <xf numFmtId="0" fontId="3" fillId="2" borderId="38" xfId="0" applyFont="1" applyFill="1" applyBorder="1" applyAlignment="1">
      <alignment horizontal="center" vertical="center"/>
    </xf>
    <xf numFmtId="0" fontId="3" fillId="2" borderId="40" xfId="0" applyFont="1" applyFill="1" applyBorder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41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43" fontId="9" fillId="0" borderId="0" xfId="1" applyFont="1" applyAlignment="1">
      <alignment horizontal="center" vertical="center"/>
    </xf>
    <xf numFmtId="164" fontId="10" fillId="0" borderId="5" xfId="0" applyNumberFormat="1" applyFont="1" applyBorder="1" applyAlignment="1">
      <alignment horizontal="center" vertical="center"/>
    </xf>
    <xf numFmtId="164" fontId="10" fillId="0" borderId="43" xfId="0" applyNumberFormat="1" applyFont="1" applyBorder="1" applyAlignment="1">
      <alignment horizontal="center" vertical="center"/>
    </xf>
    <xf numFmtId="0" fontId="12" fillId="2" borderId="3" xfId="0" applyFont="1" applyFill="1" applyBorder="1" applyAlignment="1">
      <alignment horizontal="right" vertical="center"/>
    </xf>
    <xf numFmtId="0" fontId="12" fillId="2" borderId="3" xfId="0" applyFont="1" applyFill="1" applyBorder="1" applyAlignment="1">
      <alignment horizontal="left" vertical="center"/>
    </xf>
    <xf numFmtId="0" fontId="11" fillId="2" borderId="5" xfId="0" applyFont="1" applyFill="1" applyBorder="1" applyAlignment="1">
      <alignment horizontal="center" vertical="center"/>
    </xf>
    <xf numFmtId="0" fontId="11" fillId="2" borderId="44" xfId="0" applyFont="1" applyFill="1" applyBorder="1" applyAlignment="1">
      <alignment horizontal="center" vertical="center"/>
    </xf>
    <xf numFmtId="0" fontId="10" fillId="0" borderId="45" xfId="0" applyFont="1" applyBorder="1" applyAlignment="1">
      <alignment horizontal="center" vertical="center"/>
    </xf>
    <xf numFmtId="0" fontId="10" fillId="0" borderId="45" xfId="0" applyFont="1" applyBorder="1" applyAlignment="1">
      <alignment horizontal="center" vertical="center" wrapText="1"/>
    </xf>
    <xf numFmtId="164" fontId="10" fillId="0" borderId="45" xfId="0" applyNumberFormat="1" applyFont="1" applyBorder="1" applyAlignment="1">
      <alignment horizontal="center" vertical="center"/>
    </xf>
    <xf numFmtId="164" fontId="10" fillId="0" borderId="46" xfId="0" applyNumberFormat="1" applyFont="1" applyBorder="1" applyAlignment="1">
      <alignment horizontal="center" vertical="center"/>
    </xf>
    <xf numFmtId="164" fontId="10" fillId="0" borderId="5" xfId="0" applyNumberFormat="1" applyFont="1" applyFill="1" applyBorder="1" applyAlignment="1">
      <alignment horizontal="center" vertical="center"/>
    </xf>
    <xf numFmtId="164" fontId="10" fillId="0" borderId="43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7" fillId="2" borderId="37" xfId="0" applyFont="1" applyFill="1" applyBorder="1" applyAlignment="1">
      <alignment horizontal="right" vertical="center"/>
    </xf>
    <xf numFmtId="0" fontId="17" fillId="2" borderId="38" xfId="0" applyFont="1" applyFill="1" applyBorder="1" applyAlignment="1">
      <alignment horizontal="left" vertical="center"/>
    </xf>
    <xf numFmtId="0" fontId="14" fillId="2" borderId="40" xfId="0" applyFont="1" applyFill="1" applyBorder="1" applyAlignment="1">
      <alignment vertical="center"/>
    </xf>
    <xf numFmtId="0" fontId="14" fillId="2" borderId="11" xfId="0" applyFont="1" applyFill="1" applyBorder="1" applyAlignment="1">
      <alignment horizontal="center" vertical="center"/>
    </xf>
    <xf numFmtId="0" fontId="14" fillId="2" borderId="39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4" fillId="2" borderId="3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 wrapText="1"/>
    </xf>
    <xf numFmtId="164" fontId="15" fillId="0" borderId="30" xfId="0" applyNumberFormat="1" applyFont="1" applyFill="1" applyBorder="1" applyAlignment="1">
      <alignment horizontal="center" vertical="center"/>
    </xf>
    <xf numFmtId="164" fontId="15" fillId="0" borderId="9" xfId="0" applyNumberFormat="1" applyFont="1" applyFill="1" applyBorder="1" applyAlignment="1">
      <alignment horizontal="center" vertical="center"/>
    </xf>
    <xf numFmtId="164" fontId="15" fillId="0" borderId="32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164" fontId="15" fillId="0" borderId="31" xfId="0" applyNumberFormat="1" applyFont="1" applyFill="1" applyBorder="1" applyAlignment="1">
      <alignment horizontal="center" vertical="center"/>
    </xf>
    <xf numFmtId="43" fontId="0" fillId="0" borderId="0" xfId="1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2" fillId="2" borderId="9" xfId="0" applyFont="1" applyFill="1" applyBorder="1" applyAlignment="1">
      <alignment horizontal="right" vertical="center"/>
    </xf>
    <xf numFmtId="0" fontId="22" fillId="2" borderId="6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vertical="center"/>
    </xf>
    <xf numFmtId="0" fontId="20" fillId="2" borderId="5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21" fillId="2" borderId="19" xfId="0" applyFont="1" applyFill="1" applyBorder="1" applyAlignment="1">
      <alignment horizontal="center" vertical="center"/>
    </xf>
    <xf numFmtId="0" fontId="19" fillId="0" borderId="9" xfId="0" applyFont="1" applyFill="1" applyBorder="1" applyAlignment="1">
      <alignment horizontal="center" vertical="center"/>
    </xf>
    <xf numFmtId="0" fontId="19" fillId="0" borderId="6" xfId="0" applyFont="1" applyFill="1" applyBorder="1" applyAlignment="1">
      <alignment horizontal="center" vertical="center" wrapText="1"/>
    </xf>
    <xf numFmtId="164" fontId="19" fillId="0" borderId="6" xfId="0" applyNumberFormat="1" applyFont="1" applyFill="1" applyBorder="1" applyAlignment="1">
      <alignment horizontal="center" vertical="center"/>
    </xf>
    <xf numFmtId="164" fontId="19" fillId="0" borderId="49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21" fillId="2" borderId="20" xfId="0" applyFont="1" applyFill="1" applyBorder="1" applyAlignment="1">
      <alignment horizontal="center" vertical="center"/>
    </xf>
    <xf numFmtId="0" fontId="19" fillId="0" borderId="8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 wrapText="1"/>
    </xf>
    <xf numFmtId="164" fontId="19" fillId="0" borderId="1" xfId="0" applyNumberFormat="1" applyFont="1" applyFill="1" applyBorder="1" applyAlignment="1">
      <alignment horizontal="center" vertical="center"/>
    </xf>
    <xf numFmtId="164" fontId="19" fillId="0" borderId="42" xfId="0" applyNumberFormat="1" applyFont="1" applyFill="1" applyBorder="1" applyAlignment="1">
      <alignment horizontal="center" vertical="center"/>
    </xf>
    <xf numFmtId="0" fontId="21" fillId="2" borderId="2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 wrapText="1"/>
    </xf>
    <xf numFmtId="164" fontId="19" fillId="0" borderId="13" xfId="0" applyNumberFormat="1" applyFont="1" applyFill="1" applyBorder="1" applyAlignment="1">
      <alignment horizontal="center" vertical="center"/>
    </xf>
    <xf numFmtId="164" fontId="19" fillId="0" borderId="52" xfId="0" applyNumberFormat="1" applyFont="1" applyFill="1" applyBorder="1" applyAlignment="1">
      <alignment horizontal="center" vertical="center"/>
    </xf>
    <xf numFmtId="0" fontId="22" fillId="2" borderId="37" xfId="0" applyFont="1" applyFill="1" applyBorder="1" applyAlignment="1">
      <alignment horizontal="right" vertical="center"/>
    </xf>
    <xf numFmtId="0" fontId="22" fillId="2" borderId="38" xfId="0" applyFont="1" applyFill="1" applyBorder="1" applyAlignment="1">
      <alignment horizontal="left" vertical="center"/>
    </xf>
    <xf numFmtId="43" fontId="18" fillId="0" borderId="0" xfId="1" applyFont="1" applyAlignment="1">
      <alignment horizontal="center" vertical="center"/>
    </xf>
    <xf numFmtId="0" fontId="20" fillId="2" borderId="40" xfId="0" applyFont="1" applyFill="1" applyBorder="1" applyAlignment="1">
      <alignment vertical="center"/>
    </xf>
    <xf numFmtId="0" fontId="20" fillId="2" borderId="11" xfId="0" applyFont="1" applyFill="1" applyBorder="1" applyAlignment="1">
      <alignment horizontal="center" vertical="center"/>
    </xf>
    <xf numFmtId="0" fontId="20" fillId="2" borderId="39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164" fontId="19" fillId="0" borderId="30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9" fillId="0" borderId="32" xfId="0" applyNumberFormat="1" applyFont="1" applyFill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2" borderId="37" xfId="0" applyFont="1" applyFill="1" applyBorder="1" applyAlignment="1">
      <alignment horizontal="right" vertical="center"/>
    </xf>
    <xf numFmtId="0" fontId="12" fillId="2" borderId="38" xfId="0" applyFont="1" applyFill="1" applyBorder="1" applyAlignment="1">
      <alignment horizontal="left" vertical="center"/>
    </xf>
    <xf numFmtId="0" fontId="11" fillId="2" borderId="40" xfId="0" applyFont="1" applyFill="1" applyBorder="1" applyAlignment="1">
      <alignment vertical="center"/>
    </xf>
    <xf numFmtId="0" fontId="11" fillId="2" borderId="11" xfId="0" applyFont="1" applyFill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24" fillId="2" borderId="19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/>
    </xf>
    <xf numFmtId="0" fontId="10" fillId="0" borderId="6" xfId="0" applyFont="1" applyFill="1" applyBorder="1" applyAlignment="1">
      <alignment horizontal="center" wrapText="1"/>
    </xf>
    <xf numFmtId="164" fontId="10" fillId="0" borderId="30" xfId="0" applyNumberFormat="1" applyFont="1" applyFill="1" applyBorder="1" applyAlignment="1">
      <alignment horizontal="center"/>
    </xf>
    <xf numFmtId="164" fontId="10" fillId="0" borderId="9" xfId="0" applyNumberFormat="1" applyFont="1" applyFill="1" applyBorder="1" applyAlignment="1">
      <alignment horizontal="center"/>
    </xf>
    <xf numFmtId="164" fontId="10" fillId="0" borderId="32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24" fillId="2" borderId="20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 wrapText="1"/>
    </xf>
    <xf numFmtId="164" fontId="10" fillId="0" borderId="31" xfId="0" applyNumberFormat="1" applyFont="1" applyFill="1" applyBorder="1" applyAlignment="1">
      <alignment horizontal="center"/>
    </xf>
    <xf numFmtId="43" fontId="9" fillId="0" borderId="0" xfId="1" applyFont="1" applyAlignment="1">
      <alignment horizont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2" borderId="53" xfId="0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/>
    </xf>
    <xf numFmtId="164" fontId="2" fillId="0" borderId="41" xfId="0" applyNumberFormat="1" applyFont="1" applyBorder="1" applyAlignment="1">
      <alignment horizontal="center" vertical="center"/>
    </xf>
    <xf numFmtId="164" fontId="2" fillId="0" borderId="42" xfId="0" applyNumberFormat="1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/>
    </xf>
    <xf numFmtId="164" fontId="2" fillId="3" borderId="24" xfId="0" applyNumberFormat="1" applyFont="1" applyFill="1" applyBorder="1" applyAlignment="1">
      <alignment horizontal="center"/>
    </xf>
    <xf numFmtId="0" fontId="20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8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19" fillId="0" borderId="9" xfId="0" applyFont="1" applyFill="1" applyBorder="1" applyAlignment="1">
      <alignment horizontal="center"/>
    </xf>
    <xf numFmtId="0" fontId="19" fillId="0" borderId="6" xfId="0" applyFont="1" applyFill="1" applyBorder="1" applyAlignment="1">
      <alignment horizontal="center" wrapText="1"/>
    </xf>
    <xf numFmtId="164" fontId="19" fillId="0" borderId="30" xfId="0" applyNumberFormat="1" applyFont="1" applyFill="1" applyBorder="1" applyAlignment="1">
      <alignment horizontal="center"/>
    </xf>
    <xf numFmtId="164" fontId="19" fillId="0" borderId="9" xfId="0" applyNumberFormat="1" applyFont="1" applyFill="1" applyBorder="1" applyAlignment="1">
      <alignment horizontal="center"/>
    </xf>
    <xf numFmtId="164" fontId="19" fillId="0" borderId="32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19" fillId="0" borderId="8" xfId="0" applyFont="1" applyFill="1" applyBorder="1" applyAlignment="1">
      <alignment horizontal="center"/>
    </xf>
    <xf numFmtId="0" fontId="19" fillId="0" borderId="1" xfId="0" applyFont="1" applyFill="1" applyBorder="1" applyAlignment="1">
      <alignment horizontal="center" wrapText="1"/>
    </xf>
    <xf numFmtId="164" fontId="19" fillId="0" borderId="31" xfId="0" applyNumberFormat="1" applyFont="1" applyFill="1" applyBorder="1" applyAlignment="1">
      <alignment horizontal="center"/>
    </xf>
    <xf numFmtId="164" fontId="19" fillId="0" borderId="0" xfId="0" applyNumberFormat="1" applyFont="1" applyAlignment="1">
      <alignment horizontal="center"/>
    </xf>
    <xf numFmtId="43" fontId="18" fillId="0" borderId="0" xfId="1" applyFont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 wrapText="1"/>
    </xf>
    <xf numFmtId="164" fontId="4" fillId="0" borderId="30" xfId="0" applyNumberFormat="1" applyFont="1" applyFill="1" applyBorder="1" applyAlignment="1">
      <alignment horizontal="center" vertical="center"/>
    </xf>
    <xf numFmtId="164" fontId="4" fillId="0" borderId="9" xfId="0" applyNumberFormat="1" applyFont="1" applyFill="1" applyBorder="1" applyAlignment="1">
      <alignment horizontal="center" vertical="center"/>
    </xf>
    <xf numFmtId="164" fontId="4" fillId="0" borderId="32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43" fontId="2" fillId="0" borderId="0" xfId="1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164" fontId="4" fillId="0" borderId="31" xfId="0" applyNumberFormat="1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vertical="center"/>
    </xf>
    <xf numFmtId="0" fontId="8" fillId="2" borderId="54" xfId="0" applyFont="1" applyFill="1" applyBorder="1" applyAlignment="1">
      <alignment horizontal="left" vertical="center"/>
    </xf>
    <xf numFmtId="0" fontId="3" fillId="2" borderId="55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164" fontId="2" fillId="0" borderId="42" xfId="0" applyNumberFormat="1" applyFont="1" applyBorder="1" applyAlignment="1">
      <alignment vertical="center"/>
    </xf>
    <xf numFmtId="164" fontId="2" fillId="0" borderId="5" xfId="0" applyNumberFormat="1" applyFont="1" applyBorder="1" applyAlignment="1">
      <alignment vertical="center"/>
    </xf>
    <xf numFmtId="0" fontId="3" fillId="2" borderId="56" xfId="0" applyFont="1" applyFill="1" applyBorder="1" applyAlignment="1">
      <alignment horizontal="center" vertical="center"/>
    </xf>
    <xf numFmtId="0" fontId="4" fillId="0" borderId="21" xfId="0" applyFont="1" applyFill="1" applyBorder="1" applyAlignment="1">
      <alignment horizontal="center" vertical="center"/>
    </xf>
    <xf numFmtId="0" fontId="4" fillId="0" borderId="57" xfId="0" applyFont="1" applyFill="1" applyBorder="1" applyAlignment="1">
      <alignment horizontal="center" vertical="center" wrapText="1"/>
    </xf>
    <xf numFmtId="164" fontId="4" fillId="0" borderId="45" xfId="0" applyNumberFormat="1" applyFont="1" applyFill="1" applyBorder="1" applyAlignment="1">
      <alignment horizontal="center" vertical="center"/>
    </xf>
    <xf numFmtId="164" fontId="4" fillId="0" borderId="46" xfId="0" applyNumberFormat="1" applyFont="1" applyFill="1" applyBorder="1" applyAlignment="1">
      <alignment horizontal="center" vertical="center"/>
    </xf>
    <xf numFmtId="164" fontId="2" fillId="0" borderId="3" xfId="0" applyNumberFormat="1" applyFont="1" applyBorder="1" applyAlignment="1">
      <alignment vertical="center"/>
    </xf>
    <xf numFmtId="164" fontId="2" fillId="0" borderId="41" xfId="0" applyNumberFormat="1" applyFont="1" applyBorder="1" applyAlignment="1">
      <alignment vertical="center"/>
    </xf>
    <xf numFmtId="164" fontId="2" fillId="3" borderId="43" xfId="0" applyNumberFormat="1" applyFont="1" applyFill="1" applyBorder="1" applyAlignment="1">
      <alignment vertical="center"/>
    </xf>
    <xf numFmtId="0" fontId="14" fillId="2" borderId="34" xfId="0" applyFont="1" applyFill="1" applyBorder="1" applyAlignment="1">
      <alignment horizontal="center" vertical="center"/>
    </xf>
    <xf numFmtId="165" fontId="10" fillId="0" borderId="30" xfId="0" applyNumberFormat="1" applyFont="1" applyFill="1" applyBorder="1" applyAlignment="1">
      <alignment horizontal="center"/>
    </xf>
    <xf numFmtId="165" fontId="10" fillId="0" borderId="9" xfId="0" applyNumberFormat="1" applyFont="1" applyFill="1" applyBorder="1" applyAlignment="1">
      <alignment horizontal="center"/>
    </xf>
    <xf numFmtId="165" fontId="10" fillId="0" borderId="32" xfId="0" applyNumberFormat="1" applyFont="1" applyFill="1" applyBorder="1" applyAlignment="1">
      <alignment horizontal="center"/>
    </xf>
    <xf numFmtId="164" fontId="15" fillId="3" borderId="30" xfId="0" applyNumberFormat="1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4" fontId="15" fillId="3" borderId="31" xfId="0" applyNumberFormat="1" applyFont="1" applyFill="1" applyBorder="1" applyAlignment="1">
      <alignment horizontal="center" vertical="center"/>
    </xf>
    <xf numFmtId="164" fontId="15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43" xfId="0" applyNumberFormat="1" applyFont="1" applyBorder="1" applyAlignment="1">
      <alignment vertical="center"/>
    </xf>
    <xf numFmtId="0" fontId="8" fillId="2" borderId="3" xfId="0" applyFont="1" applyFill="1" applyBorder="1" applyAlignment="1">
      <alignment horizontal="right" vertical="center"/>
    </xf>
    <xf numFmtId="0" fontId="8" fillId="2" borderId="3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1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43" xfId="0" applyFont="1" applyFill="1" applyBorder="1" applyAlignment="1">
      <alignment horizontal="center" vertical="center"/>
    </xf>
    <xf numFmtId="0" fontId="7" fillId="2" borderId="44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/>
    </xf>
    <xf numFmtId="0" fontId="4" fillId="0" borderId="45" xfId="0" applyFont="1" applyFill="1" applyBorder="1" applyAlignment="1">
      <alignment horizontal="center" vertical="center" wrapText="1"/>
    </xf>
    <xf numFmtId="2" fontId="2" fillId="0" borderId="0" xfId="0" applyNumberFormat="1" applyFont="1" applyAlignment="1">
      <alignment horizontal="center" vertical="center"/>
    </xf>
    <xf numFmtId="164" fontId="4" fillId="3" borderId="9" xfId="0" applyNumberFormat="1" applyFont="1" applyFill="1" applyBorder="1" applyAlignment="1">
      <alignment horizontal="center" vertical="center"/>
    </xf>
    <xf numFmtId="164" fontId="4" fillId="3" borderId="45" xfId="0" applyNumberFormat="1" applyFont="1" applyFill="1" applyBorder="1" applyAlignment="1">
      <alignment horizontal="center" vertical="center"/>
    </xf>
    <xf numFmtId="164" fontId="2" fillId="0" borderId="5" xfId="0" applyNumberFormat="1" applyFont="1" applyFill="1" applyBorder="1" applyAlignment="1">
      <alignment vertical="center"/>
    </xf>
    <xf numFmtId="164" fontId="4" fillId="0" borderId="59" xfId="0" applyNumberFormat="1" applyFont="1" applyFill="1" applyBorder="1" applyAlignment="1">
      <alignment horizontal="center" vertical="center"/>
    </xf>
    <xf numFmtId="164" fontId="4" fillId="0" borderId="60" xfId="0" applyNumberFormat="1" applyFont="1" applyFill="1" applyBorder="1" applyAlignment="1">
      <alignment horizontal="center" vertical="center"/>
    </xf>
    <xf numFmtId="0" fontId="4" fillId="0" borderId="49" xfId="0" applyFont="1" applyFill="1" applyBorder="1" applyAlignment="1">
      <alignment horizontal="center" vertical="center" wrapText="1"/>
    </xf>
    <xf numFmtId="0" fontId="4" fillId="0" borderId="42" xfId="0" applyFont="1" applyFill="1" applyBorder="1" applyAlignment="1">
      <alignment horizontal="center" vertical="center" wrapText="1"/>
    </xf>
    <xf numFmtId="0" fontId="3" fillId="2" borderId="63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2" fontId="2" fillId="0" borderId="0" xfId="0" applyNumberFormat="1" applyFont="1" applyFill="1" applyAlignment="1">
      <alignment horizontal="center" vertical="center"/>
    </xf>
    <xf numFmtId="164" fontId="4" fillId="3" borderId="32" xfId="0" applyNumberFormat="1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5" fillId="0" borderId="0" xfId="0" applyFont="1" applyAlignment="1">
      <alignment horizontal="center" vertical="center"/>
    </xf>
    <xf numFmtId="0" fontId="4" fillId="0" borderId="67" xfId="0" applyFont="1" applyBorder="1" applyAlignment="1">
      <alignment horizontal="center" vertical="center"/>
    </xf>
    <xf numFmtId="0" fontId="4" fillId="0" borderId="49" xfId="0" applyFont="1" applyBorder="1" applyAlignment="1">
      <alignment horizontal="left" vertical="center" wrapText="1"/>
    </xf>
    <xf numFmtId="164" fontId="15" fillId="0" borderId="9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164" fontId="15" fillId="0" borderId="49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2" xfId="0" applyFont="1" applyBorder="1" applyAlignment="1">
      <alignment horizontal="left" vertic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1" xfId="0" applyNumberFormat="1" applyFont="1" applyBorder="1" applyAlignment="1">
      <alignment horizontal="center" vertical="center"/>
    </xf>
    <xf numFmtId="164" fontId="15" fillId="0" borderId="42" xfId="0" applyNumberFormat="1" applyFont="1" applyBorder="1" applyAlignment="1">
      <alignment horizontal="center" vertical="center"/>
    </xf>
    <xf numFmtId="0" fontId="2" fillId="0" borderId="68" xfId="0" applyFont="1" applyBorder="1" applyAlignment="1">
      <alignment horizontal="center" vertical="center"/>
    </xf>
    <xf numFmtId="0" fontId="2" fillId="0" borderId="52" xfId="0" applyFont="1" applyBorder="1" applyAlignment="1">
      <alignment horizontal="left" vertical="center"/>
    </xf>
    <xf numFmtId="164" fontId="15" fillId="0" borderId="15" xfId="0" applyNumberFormat="1" applyFont="1" applyBorder="1" applyAlignment="1">
      <alignment horizontal="center" vertical="center"/>
    </xf>
    <xf numFmtId="164" fontId="15" fillId="0" borderId="13" xfId="0" applyNumberFormat="1" applyFont="1" applyBorder="1" applyAlignment="1">
      <alignment horizontal="center" vertical="center"/>
    </xf>
    <xf numFmtId="164" fontId="15" fillId="0" borderId="52" xfId="0" applyNumberFormat="1" applyFont="1" applyBorder="1" applyAlignment="1">
      <alignment horizontal="center" vertical="center"/>
    </xf>
    <xf numFmtId="164" fontId="15" fillId="0" borderId="25" xfId="0" applyNumberFormat="1" applyFont="1" applyBorder="1" applyAlignment="1">
      <alignment horizontal="center" vertical="center"/>
    </xf>
    <xf numFmtId="164" fontId="15" fillId="0" borderId="3" xfId="0" applyNumberFormat="1" applyFont="1" applyBorder="1" applyAlignment="1">
      <alignment horizontal="center" vertical="center"/>
    </xf>
    <xf numFmtId="164" fontId="15" fillId="0" borderId="41" xfId="0" applyNumberFormat="1" applyFont="1" applyBorder="1" applyAlignment="1">
      <alignment horizontal="center" vertical="center"/>
    </xf>
    <xf numFmtId="164" fontId="15" fillId="0" borderId="10" xfId="0" applyNumberFormat="1" applyFont="1" applyBorder="1" applyAlignment="1">
      <alignment horizontal="center" vertical="center"/>
    </xf>
    <xf numFmtId="164" fontId="15" fillId="0" borderId="5" xfId="0" applyNumberFormat="1" applyFont="1" applyBorder="1" applyAlignment="1">
      <alignment horizontal="center" vertical="center"/>
    </xf>
    <xf numFmtId="164" fontId="15" fillId="0" borderId="43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2" fillId="2" borderId="1" xfId="0" applyFont="1" applyFill="1" applyBorder="1" applyAlignment="1">
      <alignment horizontal="right" vertical="center"/>
    </xf>
    <xf numFmtId="0" fontId="22" fillId="2" borderId="1" xfId="0" applyFont="1" applyFill="1" applyBorder="1" applyAlignment="1">
      <alignment horizontal="left" vertical="center"/>
    </xf>
    <xf numFmtId="0" fontId="20" fillId="2" borderId="1" xfId="0" applyFont="1" applyFill="1" applyBorder="1" applyAlignment="1">
      <alignment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19" fillId="0" borderId="1" xfId="0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 wrapText="1"/>
    </xf>
    <xf numFmtId="0" fontId="18" fillId="0" borderId="1" xfId="0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 wrapText="1"/>
    </xf>
    <xf numFmtId="0" fontId="21" fillId="2" borderId="68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center" vertical="center"/>
    </xf>
    <xf numFmtId="0" fontId="19" fillId="0" borderId="13" xfId="0" applyFont="1" applyFill="1" applyBorder="1" applyAlignment="1">
      <alignment horizontal="left" vertical="center" wrapText="1"/>
    </xf>
    <xf numFmtId="0" fontId="11" fillId="2" borderId="34" xfId="0" applyFont="1" applyFill="1" applyBorder="1" applyAlignment="1">
      <alignment horizontal="center" vertical="center"/>
    </xf>
    <xf numFmtId="164" fontId="4" fillId="0" borderId="21" xfId="0" applyNumberFormat="1" applyFont="1" applyFill="1" applyBorder="1" applyAlignment="1">
      <alignment horizontal="center" vertical="center"/>
    </xf>
    <xf numFmtId="164" fontId="4" fillId="0" borderId="33" xfId="0" applyNumberFormat="1" applyFont="1" applyFill="1" applyBorder="1" applyAlignment="1">
      <alignment horizontal="center" vertical="center"/>
    </xf>
    <xf numFmtId="0" fontId="7" fillId="2" borderId="69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5" xfId="0" applyNumberFormat="1" applyFont="1" applyBorder="1" applyAlignment="1">
      <alignment horizontal="center" vertical="center"/>
    </xf>
    <xf numFmtId="164" fontId="2" fillId="0" borderId="43" xfId="0" applyNumberFormat="1" applyFont="1" applyBorder="1" applyAlignment="1">
      <alignment horizontal="center" vertical="center"/>
    </xf>
    <xf numFmtId="2" fontId="9" fillId="0" borderId="0" xfId="0" applyNumberFormat="1" applyFont="1" applyFill="1" applyAlignment="1">
      <alignment horizontal="center"/>
    </xf>
    <xf numFmtId="0" fontId="26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30" fillId="2" borderId="37" xfId="0" applyFont="1" applyFill="1" applyBorder="1" applyAlignment="1">
      <alignment horizontal="right" vertical="center"/>
    </xf>
    <xf numFmtId="0" fontId="30" fillId="2" borderId="38" xfId="0" applyFont="1" applyFill="1" applyBorder="1" applyAlignment="1">
      <alignment horizontal="left" vertical="center"/>
    </xf>
    <xf numFmtId="0" fontId="28" fillId="2" borderId="40" xfId="0" applyFont="1" applyFill="1" applyBorder="1" applyAlignment="1">
      <alignment vertical="center"/>
    </xf>
    <xf numFmtId="0" fontId="28" fillId="2" borderId="11" xfId="0" applyFont="1" applyFill="1" applyBorder="1" applyAlignment="1">
      <alignment horizontal="center" vertical="center"/>
    </xf>
    <xf numFmtId="0" fontId="28" fillId="2" borderId="39" xfId="0" applyFont="1" applyFill="1" applyBorder="1" applyAlignment="1">
      <alignment horizontal="center" vertical="center"/>
    </xf>
    <xf numFmtId="0" fontId="28" fillId="2" borderId="34" xfId="0" applyFont="1" applyFill="1" applyBorder="1" applyAlignment="1">
      <alignment horizontal="center" vertical="center"/>
    </xf>
    <xf numFmtId="0" fontId="28" fillId="2" borderId="38" xfId="0" applyFont="1" applyFill="1" applyBorder="1" applyAlignment="1">
      <alignment horizontal="center" vertical="center"/>
    </xf>
    <xf numFmtId="0" fontId="29" fillId="2" borderId="19" xfId="0" applyFont="1" applyFill="1" applyBorder="1" applyAlignment="1">
      <alignment horizontal="center" vertical="center"/>
    </xf>
    <xf numFmtId="0" fontId="27" fillId="0" borderId="9" xfId="0" applyFont="1" applyFill="1" applyBorder="1" applyAlignment="1">
      <alignment horizontal="center" vertical="center"/>
    </xf>
    <xf numFmtId="0" fontId="27" fillId="0" borderId="6" xfId="0" applyFont="1" applyFill="1" applyBorder="1" applyAlignment="1">
      <alignment horizontal="center" vertical="center" wrapText="1"/>
    </xf>
    <xf numFmtId="164" fontId="27" fillId="0" borderId="30" xfId="0" applyNumberFormat="1" applyFont="1" applyFill="1" applyBorder="1" applyAlignment="1">
      <alignment horizontal="center" vertical="center"/>
    </xf>
    <xf numFmtId="164" fontId="27" fillId="0" borderId="9" xfId="0" applyNumberFormat="1" applyFont="1" applyFill="1" applyBorder="1" applyAlignment="1">
      <alignment horizontal="center" vertical="center"/>
    </xf>
    <xf numFmtId="164" fontId="31" fillId="0" borderId="30" xfId="0" applyNumberFormat="1" applyFont="1" applyFill="1" applyBorder="1" applyAlignment="1">
      <alignment horizontal="center" vertical="center"/>
    </xf>
    <xf numFmtId="164" fontId="27" fillId="0" borderId="32" xfId="0" applyNumberFormat="1" applyFont="1" applyFill="1" applyBorder="1" applyAlignment="1">
      <alignment horizontal="center" vertical="center"/>
    </xf>
    <xf numFmtId="0" fontId="27" fillId="0" borderId="0" xfId="0" applyFont="1" applyFill="1" applyAlignment="1">
      <alignment horizontal="center" vertical="center"/>
    </xf>
    <xf numFmtId="0" fontId="26" fillId="0" borderId="0" xfId="0" applyFont="1" applyFill="1" applyAlignment="1">
      <alignment horizontal="center" vertical="center"/>
    </xf>
    <xf numFmtId="164" fontId="27" fillId="3" borderId="30" xfId="0" applyNumberFormat="1" applyFont="1" applyFill="1" applyBorder="1" applyAlignment="1">
      <alignment horizontal="center" vertical="center"/>
    </xf>
    <xf numFmtId="0" fontId="29" fillId="2" borderId="20" xfId="0" applyFont="1" applyFill="1" applyBorder="1" applyAlignment="1">
      <alignment horizontal="center" vertical="center"/>
    </xf>
    <xf numFmtId="0" fontId="27" fillId="0" borderId="8" xfId="0" applyFont="1" applyFill="1" applyBorder="1" applyAlignment="1">
      <alignment horizontal="center" vertical="center"/>
    </xf>
    <xf numFmtId="0" fontId="27" fillId="0" borderId="1" xfId="0" applyFont="1" applyFill="1" applyBorder="1" applyAlignment="1">
      <alignment horizontal="center" vertical="center" wrapText="1"/>
    </xf>
    <xf numFmtId="164" fontId="27" fillId="0" borderId="31" xfId="0" applyNumberFormat="1" applyFont="1" applyFill="1" applyBorder="1" applyAlignment="1">
      <alignment horizontal="center" vertical="center"/>
    </xf>
    <xf numFmtId="164" fontId="27" fillId="4" borderId="9" xfId="0" applyNumberFormat="1" applyFont="1" applyFill="1" applyBorder="1" applyAlignment="1">
      <alignment horizontal="center" vertical="center"/>
    </xf>
    <xf numFmtId="43" fontId="26" fillId="0" borderId="0" xfId="1" applyFont="1" applyAlignment="1">
      <alignment horizontal="center" vertical="center"/>
    </xf>
    <xf numFmtId="43" fontId="32" fillId="0" borderId="0" xfId="1" applyFont="1" applyAlignment="1">
      <alignment horizontal="left" vertical="center"/>
    </xf>
    <xf numFmtId="43" fontId="26" fillId="0" borderId="0" xfId="1" applyFont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164" fontId="33" fillId="4" borderId="1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164" fontId="35" fillId="3" borderId="9" xfId="0" applyNumberFormat="1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165" fontId="4" fillId="0" borderId="30" xfId="0" applyNumberFormat="1" applyFont="1" applyFill="1" applyBorder="1" applyAlignment="1">
      <alignment horizontal="center" vertical="center"/>
    </xf>
    <xf numFmtId="165" fontId="4" fillId="0" borderId="9" xfId="0" applyNumberFormat="1" applyFont="1" applyFill="1" applyBorder="1" applyAlignment="1">
      <alignment horizontal="center" vertical="center"/>
    </xf>
    <xf numFmtId="165" fontId="4" fillId="0" borderId="32" xfId="0" applyNumberFormat="1" applyFont="1" applyFill="1" applyBorder="1" applyAlignment="1">
      <alignment horizontal="center" vertical="center"/>
    </xf>
    <xf numFmtId="165" fontId="4" fillId="0" borderId="31" xfId="0" applyNumberFormat="1" applyFont="1" applyFill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/>
    </xf>
    <xf numFmtId="0" fontId="4" fillId="0" borderId="36" xfId="0" applyFont="1" applyFill="1" applyBorder="1" applyAlignment="1">
      <alignment horizontal="center" wrapText="1"/>
    </xf>
    <xf numFmtId="164" fontId="4" fillId="0" borderId="21" xfId="0" applyNumberFormat="1" applyFont="1" applyFill="1" applyBorder="1" applyAlignment="1">
      <alignment horizontal="center"/>
    </xf>
    <xf numFmtId="164" fontId="4" fillId="0" borderId="33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8" fillId="2" borderId="34" xfId="0" applyFont="1" applyFill="1" applyBorder="1" applyAlignment="1">
      <alignment horizontal="left" vertical="center"/>
    </xf>
    <xf numFmtId="0" fontId="4" fillId="0" borderId="21" xfId="0" applyFont="1" applyFill="1" applyBorder="1" applyAlignment="1">
      <alignment horizontal="center"/>
    </xf>
    <xf numFmtId="0" fontId="4" fillId="0" borderId="45" xfId="0" applyFont="1" applyFill="1" applyBorder="1" applyAlignment="1">
      <alignment horizontal="center" wrapText="1"/>
    </xf>
    <xf numFmtId="164" fontId="4" fillId="3" borderId="21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 wrapText="1"/>
    </xf>
    <xf numFmtId="164" fontId="4" fillId="0" borderId="78" xfId="0" applyNumberFormat="1" applyFont="1" applyFill="1" applyBorder="1" applyAlignment="1">
      <alignment horizontal="center" vertical="center"/>
    </xf>
    <xf numFmtId="164" fontId="4" fillId="0" borderId="29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1" fillId="2" borderId="56" xfId="0" applyFont="1" applyFill="1" applyBorder="1" applyAlignment="1">
      <alignment horizontal="center" vertical="center"/>
    </xf>
    <xf numFmtId="0" fontId="11" fillId="2" borderId="63" xfId="0" applyFont="1" applyFill="1" applyBorder="1" applyAlignment="1">
      <alignment horizontal="center" vertical="center"/>
    </xf>
    <xf numFmtId="0" fontId="11" fillId="2" borderId="74" xfId="0" applyFont="1" applyFill="1" applyBorder="1" applyAlignment="1">
      <alignment horizontal="center" vertical="center"/>
    </xf>
    <xf numFmtId="0" fontId="10" fillId="0" borderId="9" xfId="0" applyFont="1" applyFill="1" applyBorder="1" applyAlignment="1">
      <alignment horizontal="center" vertical="center"/>
    </xf>
    <xf numFmtId="0" fontId="10" fillId="0" borderId="49" xfId="0" applyFont="1" applyFill="1" applyBorder="1" applyAlignment="1">
      <alignment horizontal="center" vertical="center" wrapText="1"/>
    </xf>
    <xf numFmtId="164" fontId="10" fillId="0" borderId="75" xfId="0" applyNumberFormat="1" applyFont="1" applyFill="1" applyBorder="1" applyAlignment="1">
      <alignment horizontal="center" vertical="center"/>
    </xf>
    <xf numFmtId="164" fontId="10" fillId="0" borderId="32" xfId="0" applyNumberFormat="1" applyFont="1" applyFill="1" applyBorder="1" applyAlignment="1">
      <alignment horizontal="center" vertical="center"/>
    </xf>
    <xf numFmtId="164" fontId="10" fillId="0" borderId="59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42" xfId="0" applyFont="1" applyFill="1" applyBorder="1" applyAlignment="1">
      <alignment horizontal="center" vertical="center" wrapText="1"/>
    </xf>
    <xf numFmtId="164" fontId="10" fillId="0" borderId="76" xfId="0" applyNumberFormat="1" applyFont="1" applyFill="1" applyBorder="1" applyAlignment="1">
      <alignment horizontal="center" vertical="center"/>
    </xf>
    <xf numFmtId="164" fontId="10" fillId="3" borderId="32" xfId="0" applyNumberFormat="1" applyFont="1" applyFill="1" applyBorder="1" applyAlignment="1">
      <alignment horizontal="center" vertical="center"/>
    </xf>
    <xf numFmtId="0" fontId="10" fillId="0" borderId="0" xfId="0" applyFont="1" applyFill="1" applyAlignment="1">
      <alignment horizontal="left" vertical="center"/>
    </xf>
    <xf numFmtId="0" fontId="24" fillId="2" borderId="26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52" xfId="0" applyFont="1" applyFill="1" applyBorder="1" applyAlignment="1">
      <alignment horizontal="center" vertical="center" wrapText="1"/>
    </xf>
    <xf numFmtId="164" fontId="10" fillId="0" borderId="77" xfId="0" applyNumberFormat="1" applyFont="1" applyFill="1" applyBorder="1" applyAlignment="1">
      <alignment horizontal="center" vertical="center"/>
    </xf>
    <xf numFmtId="0" fontId="15" fillId="0" borderId="9" xfId="0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 wrapText="1"/>
    </xf>
    <xf numFmtId="164" fontId="15" fillId="0" borderId="30" xfId="0" applyNumberFormat="1" applyFont="1" applyFill="1" applyBorder="1" applyAlignment="1">
      <alignment horizontal="center"/>
    </xf>
    <xf numFmtId="164" fontId="15" fillId="0" borderId="9" xfId="0" applyNumberFormat="1" applyFont="1" applyFill="1" applyBorder="1" applyAlignment="1">
      <alignment horizontal="center"/>
    </xf>
    <xf numFmtId="164" fontId="15" fillId="0" borderId="32" xfId="0" applyNumberFormat="1" applyFont="1" applyFill="1" applyBorder="1" applyAlignment="1">
      <alignment horizontal="center"/>
    </xf>
    <xf numFmtId="0" fontId="15" fillId="0" borderId="0" xfId="0" applyFont="1" applyFill="1" applyAlignment="1">
      <alignment horizontal="center"/>
    </xf>
    <xf numFmtId="0" fontId="0" fillId="0" borderId="0" xfId="0" applyFont="1" applyFill="1" applyAlignment="1">
      <alignment horizontal="center"/>
    </xf>
    <xf numFmtId="0" fontId="15" fillId="0" borderId="8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wrapText="1"/>
    </xf>
    <xf numFmtId="164" fontId="15" fillId="0" borderId="31" xfId="0" applyNumberFormat="1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43" fontId="0" fillId="0" borderId="0" xfId="1" applyFont="1" applyAlignment="1">
      <alignment horizontal="center"/>
    </xf>
    <xf numFmtId="0" fontId="17" fillId="2" borderId="9" xfId="0" applyFont="1" applyFill="1" applyBorder="1" applyAlignment="1">
      <alignment horizontal="right" vertical="center"/>
    </xf>
    <xf numFmtId="0" fontId="17" fillId="2" borderId="6" xfId="0" applyFont="1" applyFill="1" applyBorder="1" applyAlignment="1">
      <alignment horizontal="left" vertical="center"/>
    </xf>
    <xf numFmtId="0" fontId="14" fillId="2" borderId="10" xfId="0" applyFont="1" applyFill="1" applyBorder="1" applyAlignment="1">
      <alignment vertical="center"/>
    </xf>
    <xf numFmtId="0" fontId="14" fillId="2" borderId="5" xfId="0" applyFont="1" applyFill="1" applyBorder="1" applyAlignment="1">
      <alignment horizontal="center" vertical="center"/>
    </xf>
    <xf numFmtId="0" fontId="14" fillId="2" borderId="43" xfId="0" applyFont="1" applyFill="1" applyBorder="1" applyAlignment="1">
      <alignment horizontal="center" vertical="center"/>
    </xf>
    <xf numFmtId="164" fontId="15" fillId="0" borderId="6" xfId="0" applyNumberFormat="1" applyFont="1" applyFill="1" applyBorder="1" applyAlignment="1">
      <alignment horizontal="center" vertical="center"/>
    </xf>
    <xf numFmtId="164" fontId="15" fillId="0" borderId="49" xfId="0" applyNumberFormat="1" applyFont="1" applyFill="1" applyBorder="1" applyAlignment="1">
      <alignment horizontal="center" vertical="center"/>
    </xf>
    <xf numFmtId="164" fontId="15" fillId="0" borderId="1" xfId="0" applyNumberFormat="1" applyFont="1" applyFill="1" applyBorder="1" applyAlignment="1">
      <alignment horizontal="center" vertical="center"/>
    </xf>
    <xf numFmtId="164" fontId="15" fillId="0" borderId="42" xfId="0" applyNumberFormat="1" applyFont="1" applyFill="1" applyBorder="1" applyAlignment="1">
      <alignment horizontal="center" vertical="center"/>
    </xf>
    <xf numFmtId="0" fontId="16" fillId="2" borderId="26" xfId="0" applyFont="1" applyFill="1" applyBorder="1" applyAlignment="1">
      <alignment horizontal="center" vertical="center"/>
    </xf>
    <xf numFmtId="0" fontId="15" fillId="0" borderId="15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 wrapText="1"/>
    </xf>
    <xf numFmtId="164" fontId="15" fillId="0" borderId="13" xfId="0" applyNumberFormat="1" applyFont="1" applyFill="1" applyBorder="1" applyAlignment="1">
      <alignment horizontal="center" vertical="center"/>
    </xf>
    <xf numFmtId="164" fontId="15" fillId="0" borderId="0" xfId="0" applyNumberFormat="1" applyFont="1" applyFill="1" applyAlignment="1">
      <alignment horizontal="center" vertical="center"/>
    </xf>
    <xf numFmtId="43" fontId="0" fillId="0" borderId="0" xfId="1" applyFont="1" applyFill="1" applyAlignment="1">
      <alignment horizontal="center" vertical="center"/>
    </xf>
    <xf numFmtId="164" fontId="15" fillId="0" borderId="52" xfId="0" applyNumberFormat="1" applyFont="1" applyFill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 vertical="center"/>
    </xf>
    <xf numFmtId="0" fontId="12" fillId="2" borderId="41" xfId="0" applyFont="1" applyFill="1" applyBorder="1" applyAlignment="1">
      <alignment horizontal="left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vertical="center"/>
    </xf>
    <xf numFmtId="0" fontId="11" fillId="2" borderId="43" xfId="0" applyFont="1" applyFill="1" applyBorder="1" applyAlignment="1">
      <alignment horizontal="center" vertical="center"/>
    </xf>
    <xf numFmtId="0" fontId="11" fillId="2" borderId="10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/>
    </xf>
    <xf numFmtId="0" fontId="10" fillId="0" borderId="49" xfId="0" applyFont="1" applyFill="1" applyBorder="1" applyAlignment="1">
      <alignment horizontal="center" wrapText="1"/>
    </xf>
    <xf numFmtId="164" fontId="10" fillId="3" borderId="9" xfId="0" applyNumberFormat="1" applyFont="1" applyFill="1" applyBorder="1" applyAlignment="1">
      <alignment horizontal="center"/>
    </xf>
    <xf numFmtId="164" fontId="10" fillId="0" borderId="6" xfId="0" applyNumberFormat="1" applyFont="1" applyFill="1" applyBorder="1" applyAlignment="1">
      <alignment horizontal="center"/>
    </xf>
    <xf numFmtId="164" fontId="10" fillId="0" borderId="49" xfId="0" applyNumberFormat="1" applyFont="1" applyFill="1" applyBorder="1" applyAlignment="1">
      <alignment horizontal="center"/>
    </xf>
    <xf numFmtId="0" fontId="24" fillId="2" borderId="68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/>
    </xf>
    <xf numFmtId="0" fontId="10" fillId="0" borderId="52" xfId="0" applyFont="1" applyFill="1" applyBorder="1" applyAlignment="1">
      <alignment horizontal="center" wrapText="1"/>
    </xf>
    <xf numFmtId="164" fontId="10" fillId="0" borderId="15" xfId="0" applyNumberFormat="1" applyFont="1" applyFill="1" applyBorder="1" applyAlignment="1">
      <alignment horizontal="center"/>
    </xf>
    <xf numFmtId="164" fontId="10" fillId="0" borderId="13" xfId="0" applyNumberFormat="1" applyFont="1" applyFill="1" applyBorder="1" applyAlignment="1">
      <alignment horizontal="center"/>
    </xf>
    <xf numFmtId="164" fontId="10" fillId="3" borderId="13" xfId="0" applyNumberFormat="1" applyFont="1" applyFill="1" applyBorder="1" applyAlignment="1">
      <alignment horizontal="center"/>
    </xf>
    <xf numFmtId="164" fontId="10" fillId="0" borderId="52" xfId="0" applyNumberFormat="1" applyFont="1" applyFill="1" applyBorder="1" applyAlignment="1">
      <alignment horizontal="center"/>
    </xf>
    <xf numFmtId="9" fontId="9" fillId="0" borderId="8" xfId="2" applyFont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9" fontId="9" fillId="0" borderId="42" xfId="2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0" applyNumberFormat="1" applyFont="1" applyAlignment="1">
      <alignment horizontal="center" vertical="center"/>
    </xf>
    <xf numFmtId="43" fontId="0" fillId="0" borderId="0" xfId="0" applyNumberFormat="1" applyFont="1" applyFill="1" applyAlignment="1">
      <alignment horizontal="center" vertical="center"/>
    </xf>
    <xf numFmtId="164" fontId="9" fillId="0" borderId="10" xfId="0" applyNumberFormat="1" applyFont="1" applyBorder="1" applyAlignment="1">
      <alignment horizontal="center"/>
    </xf>
    <xf numFmtId="164" fontId="9" fillId="0" borderId="8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43" fontId="9" fillId="0" borderId="0" xfId="0" applyNumberFormat="1" applyFont="1" applyAlignment="1">
      <alignment horizontal="center"/>
    </xf>
    <xf numFmtId="0" fontId="11" fillId="2" borderId="34" xfId="0" applyFont="1" applyFill="1" applyBorder="1" applyAlignment="1">
      <alignment horizontal="center" vertical="center"/>
    </xf>
    <xf numFmtId="0" fontId="24" fillId="2" borderId="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/>
    </xf>
    <xf numFmtId="164" fontId="10" fillId="0" borderId="1" xfId="0" applyNumberFormat="1" applyFont="1" applyFill="1" applyBorder="1" applyAlignment="1">
      <alignment horizontal="center"/>
    </xf>
    <xf numFmtId="164" fontId="10" fillId="0" borderId="42" xfId="0" applyNumberFormat="1" applyFont="1" applyFill="1" applyBorder="1" applyAlignment="1">
      <alignment horizontal="center"/>
    </xf>
    <xf numFmtId="0" fontId="10" fillId="0" borderId="13" xfId="0" applyFont="1" applyFill="1" applyBorder="1" applyAlignment="1">
      <alignment horizontal="center" wrapText="1"/>
    </xf>
    <xf numFmtId="9" fontId="9" fillId="0" borderId="0" xfId="2" applyFont="1" applyAlignment="1">
      <alignment horizontal="center"/>
    </xf>
    <xf numFmtId="0" fontId="17" fillId="2" borderId="6" xfId="0" applyFont="1" applyFill="1" applyBorder="1" applyAlignment="1">
      <alignment horizontal="right" vertical="center"/>
    </xf>
    <xf numFmtId="0" fontId="14" fillId="2" borderId="5" xfId="0" applyFont="1" applyFill="1" applyBorder="1" applyAlignment="1">
      <alignment vertical="center"/>
    </xf>
    <xf numFmtId="0" fontId="16" fillId="2" borderId="67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/>
    </xf>
    <xf numFmtId="164" fontId="15" fillId="0" borderId="6" xfId="0" applyNumberFormat="1" applyFont="1" applyFill="1" applyBorder="1" applyAlignment="1">
      <alignment horizontal="center"/>
    </xf>
    <xf numFmtId="164" fontId="15" fillId="0" borderId="49" xfId="0" applyNumberFormat="1" applyFont="1" applyFill="1" applyBorder="1" applyAlignment="1">
      <alignment horizontal="center"/>
    </xf>
    <xf numFmtId="0" fontId="16" fillId="2" borderId="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/>
    </xf>
    <xf numFmtId="164" fontId="15" fillId="0" borderId="1" xfId="0" applyNumberFormat="1" applyFont="1" applyFill="1" applyBorder="1" applyAlignment="1">
      <alignment horizontal="center"/>
    </xf>
    <xf numFmtId="164" fontId="15" fillId="0" borderId="42" xfId="0" applyNumberFormat="1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/>
    </xf>
    <xf numFmtId="0" fontId="15" fillId="0" borderId="13" xfId="0" applyFont="1" applyFill="1" applyBorder="1" applyAlignment="1">
      <alignment horizontal="center" wrapText="1"/>
    </xf>
    <xf numFmtId="164" fontId="15" fillId="0" borderId="13" xfId="0" applyNumberFormat="1" applyFont="1" applyFill="1" applyBorder="1" applyAlignment="1">
      <alignment horizontal="center"/>
    </xf>
    <xf numFmtId="164" fontId="15" fillId="0" borderId="52" xfId="0" applyNumberFormat="1" applyFont="1" applyFill="1" applyBorder="1" applyAlignment="1">
      <alignment horizontal="center"/>
    </xf>
    <xf numFmtId="0" fontId="16" fillId="2" borderId="47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/>
    </xf>
    <xf numFmtId="0" fontId="15" fillId="0" borderId="3" xfId="0" applyFont="1" applyFill="1" applyBorder="1" applyAlignment="1">
      <alignment horizontal="center" wrapText="1"/>
    </xf>
    <xf numFmtId="164" fontId="15" fillId="0" borderId="3" xfId="0" applyNumberFormat="1" applyFont="1" applyFill="1" applyBorder="1" applyAlignment="1">
      <alignment horizontal="center"/>
    </xf>
    <xf numFmtId="164" fontId="15" fillId="0" borderId="41" xfId="0" applyNumberFormat="1" applyFont="1" applyFill="1" applyBorder="1" applyAlignment="1">
      <alignment horizontal="center"/>
    </xf>
    <xf numFmtId="0" fontId="15" fillId="0" borderId="7" xfId="0" applyFont="1" applyFill="1" applyBorder="1" applyAlignment="1">
      <alignment horizontal="center"/>
    </xf>
    <xf numFmtId="0" fontId="15" fillId="0" borderId="5" xfId="0" applyFont="1" applyFill="1" applyBorder="1" applyAlignment="1">
      <alignment horizontal="center" wrapText="1"/>
    </xf>
    <xf numFmtId="164" fontId="15" fillId="0" borderId="5" xfId="0" applyNumberFormat="1" applyFont="1" applyFill="1" applyBorder="1" applyAlignment="1">
      <alignment horizontal="center"/>
    </xf>
    <xf numFmtId="164" fontId="15" fillId="0" borderId="43" xfId="0" applyNumberFormat="1" applyFont="1" applyFill="1" applyBorder="1" applyAlignment="1">
      <alignment horizontal="center"/>
    </xf>
    <xf numFmtId="0" fontId="16" fillId="2" borderId="79" xfId="0" applyFont="1" applyFill="1" applyBorder="1" applyAlignment="1">
      <alignment horizontal="center" vertical="center"/>
    </xf>
    <xf numFmtId="0" fontId="15" fillId="0" borderId="80" xfId="0" applyFont="1" applyFill="1" applyBorder="1" applyAlignment="1">
      <alignment horizontal="center"/>
    </xf>
    <xf numFmtId="0" fontId="15" fillId="0" borderId="80" xfId="0" applyFont="1" applyFill="1" applyBorder="1" applyAlignment="1">
      <alignment horizontal="center" wrapText="1"/>
    </xf>
    <xf numFmtId="164" fontId="15" fillId="0" borderId="80" xfId="0" applyNumberFormat="1" applyFont="1" applyFill="1" applyBorder="1" applyAlignment="1">
      <alignment horizontal="center"/>
    </xf>
    <xf numFmtId="164" fontId="15" fillId="0" borderId="81" xfId="0" applyNumberFormat="1" applyFont="1" applyFill="1" applyBorder="1" applyAlignment="1">
      <alignment horizontal="center"/>
    </xf>
    <xf numFmtId="43" fontId="0" fillId="0" borderId="0" xfId="1" applyFont="1" applyAlignment="1">
      <alignment horizontal="left"/>
    </xf>
    <xf numFmtId="0" fontId="0" fillId="0" borderId="0" xfId="0" applyFont="1" applyAlignment="1">
      <alignment horizontal="left"/>
    </xf>
    <xf numFmtId="164" fontId="15" fillId="4" borderId="13" xfId="0" applyNumberFormat="1" applyFont="1" applyFill="1" applyBorder="1" applyAlignment="1">
      <alignment horizontal="center" vertical="center"/>
    </xf>
    <xf numFmtId="164" fontId="15" fillId="4" borderId="1" xfId="0" applyNumberFormat="1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7" fillId="2" borderId="71" xfId="0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7" fillId="2" borderId="71" xfId="0" applyFont="1" applyFill="1" applyBorder="1" applyAlignment="1">
      <alignment horizontal="center" vertical="center"/>
    </xf>
    <xf numFmtId="164" fontId="4" fillId="3" borderId="33" xfId="0" applyNumberFormat="1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7" fillId="0" borderId="0" xfId="0" applyFont="1" applyAlignment="1">
      <alignment horizontal="center"/>
    </xf>
    <xf numFmtId="0" fontId="37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40" fillId="2" borderId="37" xfId="0" applyFont="1" applyFill="1" applyBorder="1" applyAlignment="1">
      <alignment horizontal="right" vertical="center"/>
    </xf>
    <xf numFmtId="0" fontId="40" fillId="2" borderId="38" xfId="0" applyFont="1" applyFill="1" applyBorder="1" applyAlignment="1">
      <alignment horizontal="left" vertical="center"/>
    </xf>
    <xf numFmtId="0" fontId="38" fillId="2" borderId="40" xfId="0" applyFont="1" applyFill="1" applyBorder="1" applyAlignment="1">
      <alignment vertical="center"/>
    </xf>
    <xf numFmtId="0" fontId="38" fillId="2" borderId="11" xfId="0" applyFont="1" applyFill="1" applyBorder="1" applyAlignment="1">
      <alignment horizontal="center" vertical="center"/>
    </xf>
    <xf numFmtId="0" fontId="38" fillId="2" borderId="39" xfId="0" applyFont="1" applyFill="1" applyBorder="1" applyAlignment="1">
      <alignment horizontal="center" vertical="center"/>
    </xf>
    <xf numFmtId="0" fontId="38" fillId="2" borderId="34" xfId="0" applyFont="1" applyFill="1" applyBorder="1" applyAlignment="1">
      <alignment horizontal="center" vertical="center"/>
    </xf>
    <xf numFmtId="0" fontId="38" fillId="2" borderId="38" xfId="0" applyFont="1" applyFill="1" applyBorder="1" applyAlignment="1">
      <alignment horizontal="center" vertical="center"/>
    </xf>
    <xf numFmtId="0" fontId="39" fillId="2" borderId="19" xfId="0" applyFont="1" applyFill="1" applyBorder="1" applyAlignment="1">
      <alignment horizontal="center" vertical="center"/>
    </xf>
    <xf numFmtId="0" fontId="37" fillId="0" borderId="9" xfId="0" applyFont="1" applyFill="1" applyBorder="1" applyAlignment="1">
      <alignment horizontal="center"/>
    </xf>
    <xf numFmtId="0" fontId="37" fillId="0" borderId="6" xfId="0" applyFont="1" applyFill="1" applyBorder="1" applyAlignment="1">
      <alignment horizontal="center" wrapText="1"/>
    </xf>
    <xf numFmtId="164" fontId="37" fillId="0" borderId="30" xfId="0" applyNumberFormat="1" applyFont="1" applyFill="1" applyBorder="1" applyAlignment="1">
      <alignment horizontal="center"/>
    </xf>
    <xf numFmtId="164" fontId="37" fillId="0" borderId="9" xfId="0" applyNumberFormat="1" applyFont="1" applyFill="1" applyBorder="1" applyAlignment="1">
      <alignment horizontal="center"/>
    </xf>
    <xf numFmtId="164" fontId="37" fillId="0" borderId="32" xfId="0" applyNumberFormat="1" applyFont="1" applyFill="1" applyBorder="1" applyAlignment="1">
      <alignment horizontal="center"/>
    </xf>
    <xf numFmtId="0" fontId="37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/>
    </xf>
    <xf numFmtId="0" fontId="39" fillId="2" borderId="20" xfId="0" applyFont="1" applyFill="1" applyBorder="1" applyAlignment="1">
      <alignment horizontal="center" vertical="center"/>
    </xf>
    <xf numFmtId="0" fontId="37" fillId="0" borderId="8" xfId="0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 wrapText="1"/>
    </xf>
    <xf numFmtId="164" fontId="37" fillId="0" borderId="31" xfId="0" applyNumberFormat="1" applyFont="1" applyFill="1" applyBorder="1" applyAlignment="1">
      <alignment horizontal="center"/>
    </xf>
    <xf numFmtId="0" fontId="37" fillId="0" borderId="15" xfId="0" applyFont="1" applyFill="1" applyBorder="1" applyAlignment="1">
      <alignment horizontal="center"/>
    </xf>
    <xf numFmtId="0" fontId="37" fillId="0" borderId="13" xfId="0" applyFont="1" applyFill="1" applyBorder="1" applyAlignment="1">
      <alignment horizontal="center" wrapText="1"/>
    </xf>
    <xf numFmtId="164" fontId="37" fillId="0" borderId="78" xfId="0" applyNumberFormat="1" applyFont="1" applyFill="1" applyBorder="1" applyAlignment="1">
      <alignment horizontal="center"/>
    </xf>
    <xf numFmtId="43" fontId="36" fillId="0" borderId="0" xfId="1" applyFont="1" applyAlignment="1">
      <alignment horizontal="center"/>
    </xf>
    <xf numFmtId="0" fontId="14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2" fillId="2" borderId="6" xfId="0" applyFont="1" applyFill="1" applyBorder="1" applyAlignment="1">
      <alignment horizontal="right" vertical="center"/>
    </xf>
    <xf numFmtId="0" fontId="12" fillId="2" borderId="6" xfId="0" applyFont="1" applyFill="1" applyBorder="1" applyAlignment="1">
      <alignment horizontal="left" vertical="center"/>
    </xf>
    <xf numFmtId="0" fontId="10" fillId="0" borderId="6" xfId="0" applyFont="1" applyFill="1" applyBorder="1" applyAlignment="1">
      <alignment horizontal="center" vertical="center"/>
    </xf>
    <xf numFmtId="0" fontId="10" fillId="0" borderId="6" xfId="0" applyFont="1" applyFill="1" applyBorder="1" applyAlignment="1">
      <alignment horizontal="center" vertical="center" wrapText="1"/>
    </xf>
    <xf numFmtId="164" fontId="10" fillId="3" borderId="6" xfId="0" applyNumberFormat="1" applyFont="1" applyFill="1" applyBorder="1" applyAlignment="1">
      <alignment horizontal="center" vertical="center"/>
    </xf>
    <xf numFmtId="164" fontId="10" fillId="0" borderId="6" xfId="0" applyNumberFormat="1" applyFont="1" applyFill="1" applyBorder="1" applyAlignment="1">
      <alignment horizontal="center" vertical="center"/>
    </xf>
    <xf numFmtId="164" fontId="10" fillId="0" borderId="49" xfId="0" applyNumberFormat="1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/>
    </xf>
    <xf numFmtId="0" fontId="10" fillId="0" borderId="13" xfId="0" applyFont="1" applyFill="1" applyBorder="1" applyAlignment="1">
      <alignment horizontal="center" vertical="center" wrapText="1"/>
    </xf>
    <xf numFmtId="164" fontId="10" fillId="0" borderId="13" xfId="0" applyNumberFormat="1" applyFont="1" applyFill="1" applyBorder="1" applyAlignment="1">
      <alignment horizontal="center" vertical="center"/>
    </xf>
    <xf numFmtId="164" fontId="10" fillId="3" borderId="13" xfId="0" applyNumberFormat="1" applyFont="1" applyFill="1" applyBorder="1" applyAlignment="1">
      <alignment horizontal="center" vertical="center"/>
    </xf>
    <xf numFmtId="164" fontId="10" fillId="0" borderId="52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42" fillId="0" borderId="0" xfId="0" applyFont="1" applyAlignment="1">
      <alignment horizontal="center"/>
    </xf>
    <xf numFmtId="0" fontId="43" fillId="0" borderId="0" xfId="0" applyFont="1" applyAlignment="1">
      <alignment horizontal="center"/>
    </xf>
    <xf numFmtId="0" fontId="43" fillId="0" borderId="0" xfId="0" applyFont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Fill="1" applyAlignment="1">
      <alignment horizontal="center"/>
    </xf>
    <xf numFmtId="0" fontId="42" fillId="0" borderId="0" xfId="0" applyFont="1" applyFill="1" applyAlignment="1">
      <alignment horizontal="center"/>
    </xf>
    <xf numFmtId="43" fontId="42" fillId="0" borderId="0" xfId="1" applyFont="1" applyAlignment="1">
      <alignment horizontal="center"/>
    </xf>
    <xf numFmtId="0" fontId="46" fillId="2" borderId="1" xfId="0" applyFont="1" applyFill="1" applyBorder="1" applyAlignment="1">
      <alignment horizontal="right" vertical="center"/>
    </xf>
    <xf numFmtId="0" fontId="46" fillId="2" borderId="1" xfId="0" applyFont="1" applyFill="1" applyBorder="1" applyAlignment="1">
      <alignment horizontal="left" vertical="center"/>
    </xf>
    <xf numFmtId="0" fontId="44" fillId="2" borderId="1" xfId="0" applyFont="1" applyFill="1" applyBorder="1" applyAlignment="1">
      <alignment horizontal="center" vertical="center"/>
    </xf>
    <xf numFmtId="0" fontId="44" fillId="2" borderId="1" xfId="0" applyFont="1" applyFill="1" applyBorder="1" applyAlignment="1">
      <alignment vertical="center"/>
    </xf>
    <xf numFmtId="0" fontId="43" fillId="0" borderId="1" xfId="0" applyFont="1" applyFill="1" applyBorder="1" applyAlignment="1">
      <alignment horizontal="center"/>
    </xf>
    <xf numFmtId="0" fontId="43" fillId="0" borderId="1" xfId="0" applyFont="1" applyFill="1" applyBorder="1" applyAlignment="1">
      <alignment horizontal="center" wrapText="1"/>
    </xf>
    <xf numFmtId="164" fontId="43" fillId="0" borderId="1" xfId="0" applyNumberFormat="1" applyFont="1" applyFill="1" applyBorder="1" applyAlignment="1">
      <alignment horizontal="center"/>
    </xf>
    <xf numFmtId="164" fontId="42" fillId="0" borderId="1" xfId="0" applyNumberFormat="1" applyFont="1" applyBorder="1" applyAlignment="1">
      <alignment horizontal="center" vertical="center"/>
    </xf>
    <xf numFmtId="0" fontId="44" fillId="2" borderId="42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164" fontId="43" fillId="0" borderId="42" xfId="0" applyNumberFormat="1" applyFont="1" applyFill="1" applyBorder="1" applyAlignment="1">
      <alignment horizontal="center"/>
    </xf>
    <xf numFmtId="164" fontId="42" fillId="0" borderId="42" xfId="0" applyNumberFormat="1" applyFont="1" applyBorder="1" applyAlignment="1">
      <alignment horizontal="center" vertical="center"/>
    </xf>
    <xf numFmtId="164" fontId="42" fillId="0" borderId="5" xfId="0" applyNumberFormat="1" applyFont="1" applyBorder="1" applyAlignment="1">
      <alignment horizontal="center"/>
    </xf>
    <xf numFmtId="164" fontId="42" fillId="0" borderId="43" xfId="0" applyNumberFormat="1" applyFont="1" applyBorder="1" applyAlignment="1">
      <alignment horizontal="center"/>
    </xf>
    <xf numFmtId="0" fontId="21" fillId="2" borderId="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2" fillId="2" borderId="3" xfId="0" applyFont="1" applyFill="1" applyBorder="1" applyAlignment="1">
      <alignment horizontal="right" vertical="center"/>
    </xf>
    <xf numFmtId="0" fontId="22" fillId="2" borderId="3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vertical="center"/>
    </xf>
    <xf numFmtId="164" fontId="19" fillId="3" borderId="1" xfId="0" applyNumberFormat="1" applyFont="1" applyFill="1" applyBorder="1" applyAlignment="1">
      <alignment horizontal="center" vertical="center"/>
    </xf>
    <xf numFmtId="0" fontId="19" fillId="0" borderId="0" xfId="0" applyFont="1" applyFill="1" applyAlignment="1">
      <alignment horizontal="center" wrapText="1"/>
    </xf>
    <xf numFmtId="0" fontId="11" fillId="2" borderId="34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/>
    </xf>
    <xf numFmtId="0" fontId="10" fillId="0" borderId="15" xfId="0" applyFont="1" applyFill="1" applyBorder="1" applyAlignment="1">
      <alignment horizontal="center"/>
    </xf>
    <xf numFmtId="164" fontId="10" fillId="0" borderId="78" xfId="0" applyNumberFormat="1" applyFont="1" applyFill="1" applyBorder="1" applyAlignment="1">
      <alignment horizontal="center"/>
    </xf>
    <xf numFmtId="164" fontId="10" fillId="0" borderId="29" xfId="0" applyNumberFormat="1" applyFont="1" applyFill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4" fillId="0" borderId="82" xfId="0" applyFont="1" applyFill="1" applyBorder="1" applyAlignment="1">
      <alignment horizontal="center" wrapText="1"/>
    </xf>
    <xf numFmtId="164" fontId="4" fillId="0" borderId="6" xfId="0" applyNumberFormat="1" applyFont="1" applyFill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center" wrapText="1"/>
    </xf>
    <xf numFmtId="0" fontId="11" fillId="2" borderId="34" xfId="0" applyFont="1" applyFill="1" applyBorder="1" applyAlignment="1">
      <alignment horizontal="center" vertical="center"/>
    </xf>
    <xf numFmtId="164" fontId="2" fillId="0" borderId="0" xfId="0" applyNumberFormat="1" applyFont="1" applyAlignment="1">
      <alignment horizont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10" fillId="3" borderId="30" xfId="0" applyNumberFormat="1" applyFont="1" applyFill="1" applyBorder="1" applyAlignment="1">
      <alignment horizontal="center" vertical="center"/>
    </xf>
    <xf numFmtId="164" fontId="10" fillId="0" borderId="9" xfId="0" applyNumberFormat="1" applyFont="1" applyFill="1" applyBorder="1" applyAlignment="1">
      <alignment horizontal="center" vertical="center"/>
    </xf>
    <xf numFmtId="164" fontId="10" fillId="0" borderId="30" xfId="0" applyNumberFormat="1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wrapText="1"/>
    </xf>
    <xf numFmtId="164" fontId="4" fillId="3" borderId="6" xfId="0" applyNumberFormat="1" applyFont="1" applyFill="1" applyBorder="1" applyAlignment="1">
      <alignment horizontal="center"/>
    </xf>
    <xf numFmtId="164" fontId="9" fillId="0" borderId="3" xfId="0" applyNumberFormat="1" applyFont="1" applyBorder="1" applyAlignment="1">
      <alignment vertical="center"/>
    </xf>
    <xf numFmtId="164" fontId="9" fillId="0" borderId="25" xfId="0" applyNumberFormat="1" applyFont="1" applyBorder="1" applyAlignment="1">
      <alignment vertical="center"/>
    </xf>
    <xf numFmtId="164" fontId="9" fillId="0" borderId="27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vertical="center"/>
    </xf>
    <xf numFmtId="164" fontId="9" fillId="0" borderId="8" xfId="0" applyNumberFormat="1" applyFont="1" applyBorder="1" applyAlignment="1">
      <alignment vertical="center"/>
    </xf>
    <xf numFmtId="164" fontId="9" fillId="0" borderId="28" xfId="0" applyNumberFormat="1" applyFont="1" applyBorder="1" applyAlignment="1">
      <alignment vertical="center"/>
    </xf>
    <xf numFmtId="164" fontId="9" fillId="0" borderId="5" xfId="0" applyNumberFormat="1" applyFont="1" applyBorder="1" applyAlignment="1"/>
    <xf numFmtId="164" fontId="9" fillId="0" borderId="10" xfId="0" applyNumberFormat="1" applyFont="1" applyBorder="1" applyAlignment="1"/>
    <xf numFmtId="164" fontId="9" fillId="0" borderId="12" xfId="0" applyNumberFormat="1" applyFont="1" applyBorder="1" applyAlignment="1"/>
    <xf numFmtId="0" fontId="3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164" fontId="10" fillId="0" borderId="31" xfId="0" applyNumberFormat="1" applyFont="1" applyFill="1" applyBorder="1" applyAlignment="1">
      <alignment horizontal="center" vertical="center"/>
    </xf>
    <xf numFmtId="164" fontId="10" fillId="0" borderId="29" xfId="0" applyNumberFormat="1" applyFont="1" applyFill="1" applyBorder="1" applyAlignment="1">
      <alignment horizontal="center" vertical="center"/>
    </xf>
    <xf numFmtId="0" fontId="24" fillId="2" borderId="69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45" xfId="0" applyFont="1" applyFill="1" applyBorder="1" applyAlignment="1">
      <alignment horizontal="center" vertical="center" wrapText="1"/>
    </xf>
    <xf numFmtId="164" fontId="10" fillId="0" borderId="83" xfId="0" applyNumberFormat="1" applyFont="1" applyFill="1" applyBorder="1" applyAlignment="1">
      <alignment horizontal="center" vertical="center"/>
    </xf>
    <xf numFmtId="164" fontId="10" fillId="0" borderId="21" xfId="0" applyNumberFormat="1" applyFont="1" applyFill="1" applyBorder="1" applyAlignment="1">
      <alignment horizontal="center" vertical="center"/>
    </xf>
    <xf numFmtId="164" fontId="10" fillId="0" borderId="33" xfId="0" applyNumberFormat="1" applyFont="1" applyFill="1" applyBorder="1" applyAlignment="1">
      <alignment horizontal="center" vertical="center"/>
    </xf>
    <xf numFmtId="164" fontId="4" fillId="0" borderId="49" xfId="0" applyNumberFormat="1" applyFont="1" applyFill="1" applyBorder="1" applyAlignment="1">
      <alignment horizontal="center" vertical="center"/>
    </xf>
    <xf numFmtId="164" fontId="4" fillId="4" borderId="9" xfId="0" applyNumberFormat="1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43" fontId="0" fillId="0" borderId="0" xfId="1" applyFont="1"/>
    <xf numFmtId="0" fontId="11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9" fontId="0" fillId="0" borderId="0" xfId="2" applyFont="1" applyAlignment="1">
      <alignment horizontal="center"/>
    </xf>
    <xf numFmtId="0" fontId="24" fillId="2" borderId="71" xfId="0" applyFont="1" applyFill="1" applyBorder="1" applyAlignment="1">
      <alignment horizontal="center" vertical="center"/>
    </xf>
    <xf numFmtId="0" fontId="10" fillId="0" borderId="72" xfId="0" applyFont="1" applyFill="1" applyBorder="1" applyAlignment="1">
      <alignment horizontal="center" vertical="center"/>
    </xf>
    <xf numFmtId="0" fontId="10" fillId="0" borderId="36" xfId="0" applyFont="1" applyFill="1" applyBorder="1" applyAlignment="1">
      <alignment horizontal="center" vertical="center" wrapText="1"/>
    </xf>
    <xf numFmtId="9" fontId="9" fillId="0" borderId="25" xfId="2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164" fontId="4" fillId="0" borderId="78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left"/>
    </xf>
    <xf numFmtId="0" fontId="3" fillId="2" borderId="34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vertical="center"/>
    </xf>
    <xf numFmtId="0" fontId="19" fillId="0" borderId="82" xfId="0" applyFont="1" applyFill="1" applyBorder="1" applyAlignment="1">
      <alignment horizontal="center" wrapText="1"/>
    </xf>
    <xf numFmtId="164" fontId="19" fillId="4" borderId="9" xfId="0" applyNumberFormat="1" applyFont="1" applyFill="1" applyBorder="1" applyAlignment="1">
      <alignment horizontal="center"/>
    </xf>
    <xf numFmtId="0" fontId="19" fillId="0" borderId="14" xfId="0" applyFont="1" applyFill="1" applyBorder="1" applyAlignment="1">
      <alignment horizontal="center" wrapText="1"/>
    </xf>
    <xf numFmtId="0" fontId="48" fillId="0" borderId="14" xfId="0" applyFont="1" applyFill="1" applyBorder="1" applyAlignment="1">
      <alignment horizontal="center" wrapText="1"/>
    </xf>
    <xf numFmtId="0" fontId="19" fillId="0" borderId="15" xfId="0" applyFont="1" applyFill="1" applyBorder="1" applyAlignment="1">
      <alignment horizontal="center"/>
    </xf>
    <xf numFmtId="0" fontId="19" fillId="0" borderId="13" xfId="0" applyFont="1" applyFill="1" applyBorder="1" applyAlignment="1">
      <alignment horizontal="center" wrapText="1"/>
    </xf>
    <xf numFmtId="0" fontId="19" fillId="0" borderId="84" xfId="0" applyFont="1" applyFill="1" applyBorder="1" applyAlignment="1">
      <alignment horizontal="center" wrapText="1"/>
    </xf>
    <xf numFmtId="164" fontId="19" fillId="0" borderId="29" xfId="0" applyNumberFormat="1" applyFont="1" applyFill="1" applyBorder="1" applyAlignment="1">
      <alignment horizontal="center"/>
    </xf>
    <xf numFmtId="0" fontId="18" fillId="0" borderId="23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66" fontId="4" fillId="0" borderId="30" xfId="0" applyNumberFormat="1" applyFont="1" applyFill="1" applyBorder="1" applyAlignment="1">
      <alignment horizontal="center"/>
    </xf>
    <xf numFmtId="166" fontId="4" fillId="0" borderId="9" xfId="0" applyNumberFormat="1" applyFont="1" applyFill="1" applyBorder="1" applyAlignment="1">
      <alignment horizontal="center"/>
    </xf>
    <xf numFmtId="166" fontId="4" fillId="0" borderId="31" xfId="0" applyNumberFormat="1" applyFont="1" applyFill="1" applyBorder="1" applyAlignment="1">
      <alignment horizontal="center"/>
    </xf>
    <xf numFmtId="166" fontId="4" fillId="0" borderId="32" xfId="0" applyNumberFormat="1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164" fontId="4" fillId="3" borderId="30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164" fontId="10" fillId="0" borderId="1" xfId="0" applyNumberFormat="1" applyFont="1" applyFill="1" applyBorder="1" applyAlignment="1">
      <alignment horizontal="center" vertical="center"/>
    </xf>
    <xf numFmtId="164" fontId="10" fillId="0" borderId="42" xfId="0" applyNumberFormat="1" applyFont="1" applyFill="1" applyBorder="1" applyAlignment="1">
      <alignment horizontal="center" vertical="center"/>
    </xf>
    <xf numFmtId="164" fontId="10" fillId="4" borderId="42" xfId="0" applyNumberFormat="1" applyFont="1" applyFill="1" applyBorder="1" applyAlignment="1">
      <alignment horizontal="center" vertical="center"/>
    </xf>
    <xf numFmtId="0" fontId="46" fillId="2" borderId="37" xfId="0" applyFont="1" applyFill="1" applyBorder="1" applyAlignment="1">
      <alignment horizontal="right" vertical="center"/>
    </xf>
    <xf numFmtId="0" fontId="46" fillId="2" borderId="38" xfId="0" applyFont="1" applyFill="1" applyBorder="1" applyAlignment="1">
      <alignment horizontal="left" vertical="center"/>
    </xf>
    <xf numFmtId="0" fontId="44" fillId="2" borderId="18" xfId="0" applyFont="1" applyFill="1" applyBorder="1" applyAlignment="1">
      <alignment horizontal="center" vertical="center"/>
    </xf>
    <xf numFmtId="0" fontId="44" fillId="2" borderId="40" xfId="0" applyFont="1" applyFill="1" applyBorder="1" applyAlignment="1">
      <alignment vertical="center"/>
    </xf>
    <xf numFmtId="0" fontId="44" fillId="2" borderId="11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45" fillId="2" borderId="71" xfId="0" applyFont="1" applyFill="1" applyBorder="1" applyAlignment="1">
      <alignment horizontal="center" vertical="center"/>
    </xf>
    <xf numFmtId="164" fontId="42" fillId="0" borderId="25" xfId="0" applyNumberFormat="1" applyFont="1" applyBorder="1" applyAlignment="1">
      <alignment horizontal="center" vertical="center"/>
    </xf>
    <xf numFmtId="164" fontId="42" fillId="0" borderId="27" xfId="0" applyNumberFormat="1" applyFont="1" applyBorder="1" applyAlignment="1">
      <alignment horizontal="center" vertical="center"/>
    </xf>
    <xf numFmtId="0" fontId="43" fillId="0" borderId="0" xfId="0" applyFont="1" applyFill="1" applyAlignment="1">
      <alignment horizontal="center" vertical="center"/>
    </xf>
    <xf numFmtId="0" fontId="42" fillId="0" borderId="0" xfId="0" applyFont="1" applyFill="1" applyAlignment="1">
      <alignment horizontal="center" vertical="center"/>
    </xf>
    <xf numFmtId="0" fontId="43" fillId="0" borderId="72" xfId="0" applyFont="1" applyFill="1" applyBorder="1" applyAlignment="1">
      <alignment horizontal="center" vertical="center"/>
    </xf>
    <xf numFmtId="0" fontId="43" fillId="0" borderId="36" xfId="0" applyFont="1" applyFill="1" applyBorder="1" applyAlignment="1">
      <alignment horizontal="center" vertical="center" wrapText="1"/>
    </xf>
    <xf numFmtId="164" fontId="43" fillId="0" borderId="21" xfId="0" applyNumberFormat="1" applyFont="1" applyFill="1" applyBorder="1" applyAlignment="1">
      <alignment horizontal="center" vertical="center"/>
    </xf>
    <xf numFmtId="164" fontId="43" fillId="0" borderId="33" xfId="0" applyNumberFormat="1" applyFont="1" applyFill="1" applyBorder="1" applyAlignment="1">
      <alignment horizontal="center" vertical="center"/>
    </xf>
    <xf numFmtId="164" fontId="42" fillId="0" borderId="10" xfId="0" applyNumberFormat="1" applyFont="1" applyBorder="1" applyAlignment="1">
      <alignment horizontal="center" vertical="center"/>
    </xf>
    <xf numFmtId="164" fontId="42" fillId="0" borderId="12" xfId="0" applyNumberFormat="1" applyFont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4" fillId="0" borderId="9" xfId="0" applyFont="1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4" fillId="0" borderId="15" xfId="0" applyFont="1" applyFill="1" applyBorder="1" applyAlignment="1">
      <alignment horizontal="left"/>
    </xf>
    <xf numFmtId="0" fontId="3" fillId="2" borderId="34" xfId="0" applyFont="1" applyFill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4" fillId="0" borderId="72" xfId="0" applyFont="1" applyFill="1" applyBorder="1" applyAlignment="1">
      <alignment horizontal="center" vertical="center"/>
    </xf>
    <xf numFmtId="0" fontId="4" fillId="0" borderId="36" xfId="0" applyFont="1" applyFill="1" applyBorder="1" applyAlignment="1">
      <alignment horizontal="center" vertical="center" wrapText="1"/>
    </xf>
    <xf numFmtId="9" fontId="2" fillId="0" borderId="25" xfId="2" applyFont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19" fillId="0" borderId="82" xfId="0" applyFont="1" applyFill="1" applyBorder="1" applyAlignment="1">
      <alignment horizontal="center" vertical="center" wrapText="1"/>
    </xf>
    <xf numFmtId="164" fontId="19" fillId="0" borderId="9" xfId="0" applyNumberFormat="1" applyFont="1" applyFill="1" applyBorder="1" applyAlignment="1">
      <alignment horizontal="center" vertical="center"/>
    </xf>
    <xf numFmtId="164" fontId="19" fillId="3" borderId="9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0" fontId="23" fillId="0" borderId="14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1" fillId="2" borderId="87" xfId="0" applyFont="1" applyFill="1" applyBorder="1" applyAlignment="1">
      <alignment horizontal="center" vertical="center"/>
    </xf>
    <xf numFmtId="164" fontId="19" fillId="0" borderId="82" xfId="0" applyNumberFormat="1" applyFont="1" applyFill="1" applyBorder="1" applyAlignment="1">
      <alignment horizontal="center"/>
    </xf>
    <xf numFmtId="0" fontId="20" fillId="2" borderId="70" xfId="0" applyFont="1" applyFill="1" applyBorder="1" applyAlignment="1">
      <alignment horizontal="center" vertical="center"/>
    </xf>
    <xf numFmtId="164" fontId="19" fillId="0" borderId="14" xfId="0" applyNumberFormat="1" applyFont="1" applyFill="1" applyBorder="1" applyAlignment="1">
      <alignment horizontal="center"/>
    </xf>
    <xf numFmtId="164" fontId="19" fillId="0" borderId="88" xfId="0" applyNumberFormat="1" applyFont="1" applyFill="1" applyBorder="1" applyAlignment="1">
      <alignment horizontal="center"/>
    </xf>
    <xf numFmtId="0" fontId="19" fillId="0" borderId="88" xfId="0" applyFont="1" applyFill="1" applyBorder="1" applyAlignment="1">
      <alignment horizontal="center" wrapText="1"/>
    </xf>
    <xf numFmtId="0" fontId="19" fillId="0" borderId="58" xfId="0" applyFont="1" applyFill="1" applyBorder="1" applyAlignment="1">
      <alignment horizontal="center" wrapText="1"/>
    </xf>
    <xf numFmtId="0" fontId="20" fillId="2" borderId="37" xfId="0" applyFont="1" applyFill="1" applyBorder="1" applyAlignment="1">
      <alignment vertical="center"/>
    </xf>
    <xf numFmtId="0" fontId="20" fillId="2" borderId="89" xfId="0" applyFont="1" applyFill="1" applyBorder="1" applyAlignment="1">
      <alignment horizontal="center" vertical="center"/>
    </xf>
    <xf numFmtId="0" fontId="19" fillId="0" borderId="87" xfId="0" applyFont="1" applyFill="1" applyBorder="1" applyAlignment="1">
      <alignment horizontal="center" wrapText="1"/>
    </xf>
    <xf numFmtId="164" fontId="19" fillId="0" borderId="90" xfId="0" applyNumberFormat="1" applyFont="1" applyFill="1" applyBorder="1" applyAlignment="1">
      <alignment horizontal="center"/>
    </xf>
    <xf numFmtId="0" fontId="19" fillId="0" borderId="47" xfId="0" applyFont="1" applyFill="1" applyBorder="1" applyAlignment="1">
      <alignment horizontal="center" wrapText="1"/>
    </xf>
    <xf numFmtId="0" fontId="19" fillId="0" borderId="91" xfId="0" applyFont="1" applyFill="1" applyBorder="1" applyAlignment="1">
      <alignment horizontal="center" wrapText="1"/>
    </xf>
    <xf numFmtId="164" fontId="19" fillId="0" borderId="55" xfId="0" applyNumberFormat="1" applyFont="1" applyFill="1" applyBorder="1" applyAlignment="1">
      <alignment horizontal="center"/>
    </xf>
    <xf numFmtId="164" fontId="19" fillId="0" borderId="92" xfId="0" applyNumberFormat="1" applyFont="1" applyFill="1" applyBorder="1" applyAlignment="1">
      <alignment horizontal="center"/>
    </xf>
    <xf numFmtId="0" fontId="21" fillId="2" borderId="47" xfId="0" applyFont="1" applyFill="1" applyBorder="1" applyAlignment="1">
      <alignment horizontal="center" vertical="center"/>
    </xf>
    <xf numFmtId="0" fontId="20" fillId="2" borderId="56" xfId="0" applyFont="1" applyFill="1" applyBorder="1" applyAlignment="1">
      <alignment horizontal="center" vertical="center"/>
    </xf>
    <xf numFmtId="0" fontId="19" fillId="0" borderId="67" xfId="0" applyFont="1" applyFill="1" applyBorder="1" applyAlignment="1">
      <alignment horizontal="center"/>
    </xf>
    <xf numFmtId="0" fontId="19" fillId="0" borderId="49" xfId="0" applyFont="1" applyFill="1" applyBorder="1" applyAlignment="1">
      <alignment horizontal="center" wrapText="1"/>
    </xf>
    <xf numFmtId="0" fontId="19" fillId="0" borderId="4" xfId="0" applyFont="1" applyFill="1" applyBorder="1" applyAlignment="1">
      <alignment horizontal="center"/>
    </xf>
    <xf numFmtId="0" fontId="19" fillId="0" borderId="42" xfId="0" applyFont="1" applyFill="1" applyBorder="1" applyAlignment="1">
      <alignment horizontal="center" wrapText="1"/>
    </xf>
    <xf numFmtId="0" fontId="19" fillId="0" borderId="40" xfId="0" applyFont="1" applyFill="1" applyBorder="1" applyAlignment="1">
      <alignment horizontal="center"/>
    </xf>
    <xf numFmtId="0" fontId="19" fillId="0" borderId="56" xfId="0" applyFont="1" applyFill="1" applyBorder="1" applyAlignment="1">
      <alignment horizontal="center" wrapText="1"/>
    </xf>
    <xf numFmtId="0" fontId="19" fillId="5" borderId="4" xfId="0" applyFont="1" applyFill="1" applyBorder="1" applyAlignment="1">
      <alignment horizontal="center"/>
    </xf>
    <xf numFmtId="0" fontId="19" fillId="5" borderId="42" xfId="0" applyFont="1" applyFill="1" applyBorder="1" applyAlignment="1">
      <alignment horizontal="center" wrapText="1"/>
    </xf>
    <xf numFmtId="0" fontId="19" fillId="5" borderId="58" xfId="0" applyFont="1" applyFill="1" applyBorder="1" applyAlignment="1">
      <alignment horizontal="center" wrapText="1"/>
    </xf>
    <xf numFmtId="164" fontId="19" fillId="5" borderId="31" xfId="0" applyNumberFormat="1" applyFont="1" applyFill="1" applyBorder="1" applyAlignment="1">
      <alignment horizontal="center"/>
    </xf>
    <xf numFmtId="164" fontId="19" fillId="5" borderId="88" xfId="0" applyNumberFormat="1" applyFont="1" applyFill="1" applyBorder="1" applyAlignment="1">
      <alignment horizontal="center"/>
    </xf>
    <xf numFmtId="0" fontId="19" fillId="5" borderId="47" xfId="0" applyFont="1" applyFill="1" applyBorder="1" applyAlignment="1">
      <alignment horizontal="center" wrapText="1"/>
    </xf>
    <xf numFmtId="164" fontId="19" fillId="5" borderId="14" xfId="0" applyNumberFormat="1" applyFont="1" applyFill="1" applyBorder="1" applyAlignment="1">
      <alignment horizontal="center"/>
    </xf>
    <xf numFmtId="164" fontId="19" fillId="5" borderId="90" xfId="0" applyNumberFormat="1" applyFont="1" applyFill="1" applyBorder="1" applyAlignment="1">
      <alignment horizontal="center"/>
    </xf>
    <xf numFmtId="164" fontId="19" fillId="5" borderId="32" xfId="0" applyNumberFormat="1" applyFont="1" applyFill="1" applyBorder="1" applyAlignment="1">
      <alignment horizontal="center"/>
    </xf>
    <xf numFmtId="164" fontId="19" fillId="0" borderId="93" xfId="0" applyNumberFormat="1" applyFont="1" applyFill="1" applyBorder="1" applyAlignment="1">
      <alignment horizontal="center"/>
    </xf>
    <xf numFmtId="2" fontId="18" fillId="0" borderId="0" xfId="0" applyNumberFormat="1" applyFont="1" applyFill="1" applyAlignment="1">
      <alignment horizontal="center"/>
    </xf>
    <xf numFmtId="1" fontId="18" fillId="0" borderId="0" xfId="0" applyNumberFormat="1" applyFont="1" applyFill="1" applyAlignment="1">
      <alignment horizontal="center"/>
    </xf>
    <xf numFmtId="0" fontId="14" fillId="2" borderId="34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/>
    </xf>
    <xf numFmtId="0" fontId="11" fillId="2" borderId="38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50" fillId="0" borderId="0" xfId="0" applyFont="1" applyAlignment="1">
      <alignment horizontal="center" vertical="center"/>
    </xf>
    <xf numFmtId="0" fontId="51" fillId="0" borderId="0" xfId="0" applyFont="1" applyAlignment="1">
      <alignment horizontal="center" vertical="center"/>
    </xf>
    <xf numFmtId="0" fontId="53" fillId="2" borderId="1" xfId="0" applyFont="1" applyFill="1" applyBorder="1" applyAlignment="1">
      <alignment horizontal="right" vertical="center"/>
    </xf>
    <xf numFmtId="0" fontId="53" fillId="2" borderId="1" xfId="0" applyFont="1" applyFill="1" applyBorder="1" applyAlignment="1">
      <alignment horizontal="left" vertical="center"/>
    </xf>
    <xf numFmtId="0" fontId="49" fillId="2" borderId="1" xfId="0" applyFont="1" applyFill="1" applyBorder="1" applyAlignment="1">
      <alignment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42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center" vertical="center"/>
    </xf>
    <xf numFmtId="0" fontId="50" fillId="0" borderId="1" xfId="0" applyFont="1" applyBorder="1" applyAlignment="1">
      <alignment horizontal="left" vertical="center" wrapText="1"/>
    </xf>
    <xf numFmtId="164" fontId="50" fillId="0" borderId="1" xfId="0" applyNumberFormat="1" applyFont="1" applyFill="1" applyBorder="1" applyAlignment="1">
      <alignment horizontal="center" vertical="center"/>
    </xf>
    <xf numFmtId="164" fontId="50" fillId="0" borderId="42" xfId="0" applyNumberFormat="1" applyFont="1" applyFill="1" applyBorder="1" applyAlignment="1">
      <alignment horizontal="center" vertical="center"/>
    </xf>
    <xf numFmtId="0" fontId="50" fillId="0" borderId="0" xfId="0" applyFont="1" applyFill="1" applyAlignment="1">
      <alignment horizontal="center" vertical="center"/>
    </xf>
    <xf numFmtId="0" fontId="51" fillId="0" borderId="0" xfId="0" applyFont="1" applyFill="1" applyAlignment="1">
      <alignment horizontal="center" vertical="center"/>
    </xf>
    <xf numFmtId="0" fontId="51" fillId="0" borderId="1" xfId="0" applyFont="1" applyBorder="1" applyAlignment="1">
      <alignment horizontal="left" vertical="center"/>
    </xf>
    <xf numFmtId="2" fontId="51" fillId="0" borderId="0" xfId="0" applyNumberFormat="1" applyFont="1" applyFill="1" applyAlignment="1">
      <alignment horizontal="center" vertical="center"/>
    </xf>
    <xf numFmtId="43" fontId="51" fillId="0" borderId="0" xfId="1" applyFont="1" applyAlignment="1">
      <alignment horizontal="center" vertical="center"/>
    </xf>
    <xf numFmtId="9" fontId="51" fillId="0" borderId="0" xfId="2" applyFont="1" applyAlignment="1">
      <alignment horizontal="center" vertical="center"/>
    </xf>
    <xf numFmtId="0" fontId="17" fillId="2" borderId="1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left" vertical="center"/>
    </xf>
    <xf numFmtId="0" fontId="14" fillId="2" borderId="1" xfId="0" applyFont="1" applyFill="1" applyBorder="1" applyAlignment="1">
      <alignment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4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left" vertical="center" wrapText="1"/>
    </xf>
    <xf numFmtId="0" fontId="0" fillId="0" borderId="1" xfId="0" applyFont="1" applyBorder="1" applyAlignment="1">
      <alignment horizontal="left" vertical="center"/>
    </xf>
    <xf numFmtId="2" fontId="0" fillId="0" borderId="0" xfId="0" applyNumberFormat="1" applyFont="1" applyFill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44" fillId="2" borderId="39" xfId="0" applyFont="1" applyFill="1" applyBorder="1" applyAlignment="1">
      <alignment horizontal="center" vertical="center"/>
    </xf>
    <xf numFmtId="0" fontId="45" fillId="2" borderId="19" xfId="0" applyFont="1" applyFill="1" applyBorder="1" applyAlignment="1">
      <alignment horizontal="center" vertical="center"/>
    </xf>
    <xf numFmtId="0" fontId="43" fillId="0" borderId="9" xfId="0" applyFont="1" applyFill="1" applyBorder="1" applyAlignment="1">
      <alignment horizontal="center"/>
    </xf>
    <xf numFmtId="0" fontId="43" fillId="0" borderId="6" xfId="0" applyFont="1" applyFill="1" applyBorder="1" applyAlignment="1">
      <alignment horizontal="center" wrapText="1"/>
    </xf>
    <xf numFmtId="164" fontId="43" fillId="0" borderId="30" xfId="0" applyNumberFormat="1" applyFont="1" applyFill="1" applyBorder="1" applyAlignment="1">
      <alignment horizontal="center"/>
    </xf>
    <xf numFmtId="164" fontId="43" fillId="0" borderId="9" xfId="0" applyNumberFormat="1" applyFont="1" applyFill="1" applyBorder="1" applyAlignment="1">
      <alignment horizontal="center"/>
    </xf>
    <xf numFmtId="164" fontId="43" fillId="3" borderId="32" xfId="0" applyNumberFormat="1" applyFont="1" applyFill="1" applyBorder="1" applyAlignment="1">
      <alignment horizontal="center"/>
    </xf>
    <xf numFmtId="0" fontId="15" fillId="0" borderId="6" xfId="0" applyFont="1" applyFill="1" applyBorder="1" applyAlignment="1">
      <alignment horizontal="center" vertical="center"/>
    </xf>
    <xf numFmtId="0" fontId="15" fillId="0" borderId="6" xfId="0" applyFont="1" applyBorder="1" applyAlignment="1">
      <alignment horizontal="left" vertical="center" wrapText="1"/>
    </xf>
    <xf numFmtId="0" fontId="11" fillId="2" borderId="8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/>
    </xf>
    <xf numFmtId="2" fontId="9" fillId="0" borderId="0" xfId="0" applyNumberFormat="1" applyFont="1" applyFill="1" applyAlignment="1">
      <alignment horizontal="center" vertical="center"/>
    </xf>
    <xf numFmtId="9" fontId="9" fillId="0" borderId="0" xfId="2" applyFont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45" fillId="2" borderId="4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0" fontId="46" fillId="2" borderId="3" xfId="0" applyFont="1" applyFill="1" applyBorder="1" applyAlignment="1">
      <alignment horizontal="right" vertical="center"/>
    </xf>
    <xf numFmtId="0" fontId="46" fillId="2" borderId="3" xfId="0" applyFont="1" applyFill="1" applyBorder="1" applyAlignment="1">
      <alignment horizontal="left" vertical="center"/>
    </xf>
    <xf numFmtId="0" fontId="44" fillId="2" borderId="3" xfId="0" applyFont="1" applyFill="1" applyBorder="1" applyAlignment="1">
      <alignment horizontal="center" vertical="center"/>
    </xf>
    <xf numFmtId="0" fontId="44" fillId="2" borderId="25" xfId="0" applyFont="1" applyFill="1" applyBorder="1" applyAlignment="1">
      <alignment horizontal="center" vertical="center"/>
    </xf>
    <xf numFmtId="0" fontId="44" fillId="2" borderId="41" xfId="0" applyFont="1" applyFill="1" applyBorder="1" applyAlignment="1">
      <alignment horizontal="center" vertical="center"/>
    </xf>
    <xf numFmtId="0" fontId="44" fillId="2" borderId="5" xfId="0" applyFont="1" applyFill="1" applyBorder="1" applyAlignment="1">
      <alignment vertical="center"/>
    </xf>
    <xf numFmtId="0" fontId="44" fillId="2" borderId="5" xfId="0" applyFont="1" applyFill="1" applyBorder="1" applyAlignment="1">
      <alignment horizontal="center" vertical="center"/>
    </xf>
    <xf numFmtId="0" fontId="44" fillId="2" borderId="43" xfId="0" applyFont="1" applyFill="1" applyBorder="1" applyAlignment="1">
      <alignment horizontal="center" vertical="center"/>
    </xf>
    <xf numFmtId="0" fontId="45" fillId="2" borderId="67" xfId="0" applyFont="1" applyFill="1" applyBorder="1" applyAlignment="1">
      <alignment horizontal="center" vertical="center"/>
    </xf>
    <xf numFmtId="0" fontId="43" fillId="0" borderId="6" xfId="0" applyFont="1" applyFill="1" applyBorder="1" applyAlignment="1">
      <alignment horizontal="center"/>
    </xf>
    <xf numFmtId="164" fontId="43" fillId="0" borderId="6" xfId="0" applyNumberFormat="1" applyFont="1" applyFill="1" applyBorder="1" applyAlignment="1">
      <alignment horizontal="center"/>
    </xf>
    <xf numFmtId="164" fontId="43" fillId="3" borderId="49" xfId="0" applyNumberFormat="1" applyFont="1" applyFill="1" applyBorder="1" applyAlignment="1">
      <alignment horizontal="center"/>
    </xf>
    <xf numFmtId="164" fontId="43" fillId="3" borderId="1" xfId="0" applyNumberFormat="1" applyFont="1" applyFill="1" applyBorder="1" applyAlignment="1">
      <alignment horizontal="center"/>
    </xf>
    <xf numFmtId="164" fontId="42" fillId="0" borderId="3" xfId="0" applyNumberFormat="1" applyFont="1" applyBorder="1" applyAlignment="1">
      <alignment horizontal="center" vertical="center"/>
    </xf>
    <xf numFmtId="164" fontId="42" fillId="0" borderId="41" xfId="0" applyNumberFormat="1" applyFont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164" fontId="43" fillId="0" borderId="32" xfId="0" applyNumberFormat="1" applyFont="1" applyFill="1" applyBorder="1" applyAlignment="1">
      <alignment horizontal="center"/>
    </xf>
    <xf numFmtId="0" fontId="16" fillId="2" borderId="51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7" fillId="2" borderId="25" xfId="0" applyFont="1" applyFill="1" applyBorder="1" applyAlignment="1">
      <alignment horizontal="right" vertical="center"/>
    </xf>
    <xf numFmtId="0" fontId="17" fillId="2" borderId="3" xfId="0" applyFont="1" applyFill="1" applyBorder="1" applyAlignment="1">
      <alignment horizontal="left" vertical="center"/>
    </xf>
    <xf numFmtId="164" fontId="0" fillId="0" borderId="3" xfId="0" applyNumberFormat="1" applyFont="1" applyBorder="1" applyAlignment="1">
      <alignment vertical="center"/>
    </xf>
    <xf numFmtId="164" fontId="0" fillId="0" borderId="41" xfId="0" applyNumberFormat="1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164" fontId="0" fillId="0" borderId="42" xfId="0" applyNumberFormat="1" applyFont="1" applyBorder="1" applyAlignment="1">
      <alignment vertical="center"/>
    </xf>
    <xf numFmtId="164" fontId="0" fillId="0" borderId="5" xfId="0" applyNumberFormat="1" applyFont="1" applyBorder="1" applyAlignment="1">
      <alignment vertical="center"/>
    </xf>
    <xf numFmtId="164" fontId="0" fillId="0" borderId="43" xfId="0" applyNumberFormat="1" applyFont="1" applyBorder="1" applyAlignment="1">
      <alignment vertical="center"/>
    </xf>
    <xf numFmtId="0" fontId="44" fillId="2" borderId="38" xfId="0" applyFont="1" applyFill="1" applyBorder="1" applyAlignment="1">
      <alignment horizontal="center" vertical="center"/>
    </xf>
    <xf numFmtId="0" fontId="45" fillId="2" borderId="71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44" fillId="2" borderId="18" xfId="0" applyFont="1" applyFill="1" applyBorder="1" applyAlignment="1">
      <alignment horizontal="center" vertical="center"/>
    </xf>
    <xf numFmtId="164" fontId="42" fillId="0" borderId="25" xfId="0" applyNumberFormat="1" applyFont="1" applyBorder="1" applyAlignment="1">
      <alignment horizontal="center" vertical="center"/>
    </xf>
    <xf numFmtId="164" fontId="42" fillId="0" borderId="27" xfId="0" applyNumberFormat="1" applyFont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47" fillId="0" borderId="0" xfId="0" applyFont="1" applyAlignment="1">
      <alignment horizontal="center" vertical="center"/>
    </xf>
    <xf numFmtId="164" fontId="42" fillId="3" borderId="10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164" fontId="15" fillId="0" borderId="45" xfId="0" applyNumberFormat="1" applyFont="1" applyFill="1" applyBorder="1" applyAlignment="1">
      <alignment horizontal="center" vertical="center"/>
    </xf>
    <xf numFmtId="164" fontId="15" fillId="0" borderId="46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5" fillId="0" borderId="45" xfId="0" applyFont="1" applyFill="1" applyBorder="1" applyAlignment="1">
      <alignment horizontal="center" vertical="center" wrapText="1"/>
    </xf>
    <xf numFmtId="0" fontId="15" fillId="0" borderId="21" xfId="0" applyFont="1" applyFill="1" applyBorder="1" applyAlignment="1">
      <alignment horizontal="center" vertical="center"/>
    </xf>
    <xf numFmtId="0" fontId="16" fillId="2" borderId="53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16" fontId="15" fillId="0" borderId="9" xfId="0" applyNumberFormat="1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53" fillId="2" borderId="37" xfId="0" applyFont="1" applyFill="1" applyBorder="1" applyAlignment="1">
      <alignment horizontal="right" vertical="center"/>
    </xf>
    <xf numFmtId="0" fontId="53" fillId="2" borderId="38" xfId="0" applyFont="1" applyFill="1" applyBorder="1" applyAlignment="1">
      <alignment horizontal="left" vertical="center"/>
    </xf>
    <xf numFmtId="0" fontId="49" fillId="2" borderId="40" xfId="0" applyFont="1" applyFill="1" applyBorder="1" applyAlignment="1">
      <alignment vertical="center"/>
    </xf>
    <xf numFmtId="0" fontId="49" fillId="2" borderId="56" xfId="0" applyFont="1" applyFill="1" applyBorder="1" applyAlignment="1">
      <alignment horizontal="center" vertical="center"/>
    </xf>
    <xf numFmtId="0" fontId="49" fillId="2" borderId="39" xfId="0" applyFont="1" applyFill="1" applyBorder="1" applyAlignment="1">
      <alignment horizontal="center" vertical="center"/>
    </xf>
    <xf numFmtId="0" fontId="49" fillId="2" borderId="54" xfId="0" applyFont="1" applyFill="1" applyBorder="1" applyAlignment="1">
      <alignment horizontal="center" vertical="center"/>
    </xf>
    <xf numFmtId="0" fontId="49" fillId="2" borderId="89" xfId="0" applyFont="1" applyFill="1" applyBorder="1" applyAlignment="1">
      <alignment horizontal="center" vertical="center"/>
    </xf>
    <xf numFmtId="0" fontId="49" fillId="2" borderId="38" xfId="0" applyFont="1" applyFill="1" applyBorder="1" applyAlignment="1">
      <alignment horizontal="center" vertical="center"/>
    </xf>
    <xf numFmtId="0" fontId="52" fillId="2" borderId="87" xfId="0" applyFont="1" applyFill="1" applyBorder="1" applyAlignment="1">
      <alignment horizontal="center" vertical="center"/>
    </xf>
    <xf numFmtId="0" fontId="52" fillId="2" borderId="47" xfId="0" applyFont="1" applyFill="1" applyBorder="1" applyAlignment="1">
      <alignment horizontal="center" vertical="center"/>
    </xf>
    <xf numFmtId="0" fontId="49" fillId="2" borderId="37" xfId="0" applyFont="1" applyFill="1" applyBorder="1" applyAlignment="1">
      <alignment horizontal="center" vertical="center"/>
    </xf>
    <xf numFmtId="0" fontId="50" fillId="0" borderId="67" xfId="0" applyFont="1" applyFill="1" applyBorder="1" applyAlignment="1">
      <alignment horizontal="center" vertical="center"/>
    </xf>
    <xf numFmtId="0" fontId="50" fillId="0" borderId="49" xfId="0" applyFont="1" applyFill="1" applyBorder="1" applyAlignment="1">
      <alignment horizontal="center" vertical="center" wrapText="1"/>
    </xf>
    <xf numFmtId="164" fontId="50" fillId="0" borderId="30" xfId="0" applyNumberFormat="1" applyFont="1" applyFill="1" applyBorder="1" applyAlignment="1">
      <alignment horizontal="center" vertical="center"/>
    </xf>
    <xf numFmtId="164" fontId="50" fillId="4" borderId="88" xfId="0" applyNumberFormat="1" applyFont="1" applyFill="1" applyBorder="1" applyAlignment="1">
      <alignment horizontal="center" vertical="center"/>
    </xf>
    <xf numFmtId="164" fontId="50" fillId="0" borderId="87" xfId="0" applyNumberFormat="1" applyFont="1" applyFill="1" applyBorder="1" applyAlignment="1">
      <alignment horizontal="center" vertical="center"/>
    </xf>
    <xf numFmtId="164" fontId="50" fillId="0" borderId="90" xfId="0" applyNumberFormat="1" applyFont="1" applyFill="1" applyBorder="1" applyAlignment="1">
      <alignment horizontal="center" vertical="center"/>
    </xf>
    <xf numFmtId="164" fontId="50" fillId="0" borderId="32" xfId="0" applyNumberFormat="1" applyFont="1" applyFill="1" applyBorder="1" applyAlignment="1">
      <alignment horizontal="center" vertical="center"/>
    </xf>
    <xf numFmtId="0" fontId="50" fillId="0" borderId="4" xfId="0" applyFont="1" applyFill="1" applyBorder="1" applyAlignment="1">
      <alignment horizontal="center" vertical="center"/>
    </xf>
    <xf numFmtId="0" fontId="50" fillId="0" borderId="42" xfId="0" applyFont="1" applyFill="1" applyBorder="1" applyAlignment="1">
      <alignment horizontal="center" vertical="center" wrapText="1"/>
    </xf>
    <xf numFmtId="164" fontId="50" fillId="0" borderId="31" xfId="0" applyNumberFormat="1" applyFont="1" applyFill="1" applyBorder="1" applyAlignment="1">
      <alignment horizontal="center" vertical="center"/>
    </xf>
    <xf numFmtId="164" fontId="50" fillId="0" borderId="88" xfId="0" applyNumberFormat="1" applyFont="1" applyFill="1" applyBorder="1" applyAlignment="1">
      <alignment horizontal="center" vertical="center"/>
    </xf>
    <xf numFmtId="164" fontId="50" fillId="0" borderId="47" xfId="0" applyNumberFormat="1" applyFont="1" applyFill="1" applyBorder="1" applyAlignment="1">
      <alignment horizontal="center" vertical="center"/>
    </xf>
    <xf numFmtId="0" fontId="50" fillId="5" borderId="4" xfId="0" applyFont="1" applyFill="1" applyBorder="1" applyAlignment="1">
      <alignment horizontal="center" vertical="center"/>
    </xf>
    <xf numFmtId="0" fontId="50" fillId="5" borderId="42" xfId="0" applyFont="1" applyFill="1" applyBorder="1" applyAlignment="1">
      <alignment horizontal="center" vertical="center" wrapText="1"/>
    </xf>
    <xf numFmtId="164" fontId="50" fillId="5" borderId="31" xfId="0" applyNumberFormat="1" applyFont="1" applyFill="1" applyBorder="1" applyAlignment="1">
      <alignment horizontal="center" vertical="center"/>
    </xf>
    <xf numFmtId="164" fontId="50" fillId="5" borderId="88" xfId="0" applyNumberFormat="1" applyFont="1" applyFill="1" applyBorder="1" applyAlignment="1">
      <alignment horizontal="center" vertical="center"/>
    </xf>
    <xf numFmtId="164" fontId="50" fillId="5" borderId="47" xfId="0" applyNumberFormat="1" applyFont="1" applyFill="1" applyBorder="1" applyAlignment="1">
      <alignment horizontal="center" vertical="center"/>
    </xf>
    <xf numFmtId="164" fontId="50" fillId="5" borderId="90" xfId="0" applyNumberFormat="1" applyFont="1" applyFill="1" applyBorder="1" applyAlignment="1">
      <alignment horizontal="center" vertical="center"/>
    </xf>
    <xf numFmtId="164" fontId="50" fillId="5" borderId="32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55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9" fillId="2" borderId="25" xfId="0" applyFont="1" applyFill="1" applyBorder="1" applyAlignment="1">
      <alignment horizontal="right" vertical="center"/>
    </xf>
    <xf numFmtId="0" fontId="59" fillId="2" borderId="3" xfId="0" applyFont="1" applyFill="1" applyBorder="1" applyAlignment="1">
      <alignment horizontal="left" vertical="center"/>
    </xf>
    <xf numFmtId="0" fontId="57" fillId="2" borderId="3" xfId="0" applyFont="1" applyFill="1" applyBorder="1" applyAlignment="1">
      <alignment horizontal="center" vertical="center"/>
    </xf>
    <xf numFmtId="0" fontId="57" fillId="2" borderId="41" xfId="0" applyFont="1" applyFill="1" applyBorder="1" applyAlignment="1">
      <alignment horizontal="center" vertical="center"/>
    </xf>
    <xf numFmtId="0" fontId="57" fillId="2" borderId="10" xfId="0" applyFont="1" applyFill="1" applyBorder="1" applyAlignment="1">
      <alignment vertical="center"/>
    </xf>
    <xf numFmtId="0" fontId="57" fillId="2" borderId="5" xfId="0" applyFont="1" applyFill="1" applyBorder="1" applyAlignment="1">
      <alignment horizontal="center" vertical="center"/>
    </xf>
    <xf numFmtId="0" fontId="57" fillId="2" borderId="43" xfId="0" applyFont="1" applyFill="1" applyBorder="1" applyAlignment="1">
      <alignment horizontal="center" vertical="center"/>
    </xf>
    <xf numFmtId="0" fontId="58" fillId="2" borderId="19" xfId="0" applyFont="1" applyFill="1" applyBorder="1" applyAlignment="1">
      <alignment horizontal="center" vertical="center"/>
    </xf>
    <xf numFmtId="0" fontId="56" fillId="0" borderId="9" xfId="0" applyFont="1" applyFill="1" applyBorder="1" applyAlignment="1">
      <alignment horizontal="center" vertical="center"/>
    </xf>
    <xf numFmtId="0" fontId="56" fillId="0" borderId="6" xfId="0" applyFont="1" applyBorder="1" applyAlignment="1">
      <alignment horizontal="left" vertical="center" wrapText="1"/>
    </xf>
    <xf numFmtId="164" fontId="56" fillId="0" borderId="6" xfId="0" applyNumberFormat="1" applyFont="1" applyFill="1" applyBorder="1" applyAlignment="1">
      <alignment horizontal="center" vertical="center"/>
    </xf>
    <xf numFmtId="164" fontId="56" fillId="0" borderId="49" xfId="0" applyNumberFormat="1" applyFont="1" applyFill="1" applyBorder="1" applyAlignment="1">
      <alignment horizontal="center" vertical="center"/>
    </xf>
    <xf numFmtId="0" fontId="56" fillId="0" borderId="0" xfId="0" applyFont="1" applyFill="1" applyAlignment="1">
      <alignment horizontal="center" vertical="center"/>
    </xf>
    <xf numFmtId="0" fontId="55" fillId="0" borderId="0" xfId="0" applyFont="1" applyFill="1" applyAlignment="1">
      <alignment horizontal="center" vertical="center"/>
    </xf>
    <xf numFmtId="164" fontId="55" fillId="0" borderId="3" xfId="0" applyNumberFormat="1" applyFont="1" applyBorder="1" applyAlignment="1">
      <alignment vertical="center"/>
    </xf>
    <xf numFmtId="164" fontId="55" fillId="0" borderId="41" xfId="0" applyNumberFormat="1" applyFont="1" applyBorder="1" applyAlignment="1">
      <alignment vertical="center"/>
    </xf>
    <xf numFmtId="164" fontId="55" fillId="0" borderId="1" xfId="0" applyNumberFormat="1" applyFont="1" applyBorder="1" applyAlignment="1">
      <alignment vertical="center"/>
    </xf>
    <xf numFmtId="164" fontId="55" fillId="0" borderId="42" xfId="0" applyNumberFormat="1" applyFont="1" applyBorder="1" applyAlignment="1">
      <alignment vertical="center"/>
    </xf>
    <xf numFmtId="164" fontId="55" fillId="0" borderId="5" xfId="0" applyNumberFormat="1" applyFont="1" applyBorder="1" applyAlignment="1">
      <alignment vertical="center"/>
    </xf>
    <xf numFmtId="164" fontId="55" fillId="0" borderId="43" xfId="0" applyNumberFormat="1" applyFont="1" applyBorder="1" applyAlignment="1">
      <alignment vertical="center"/>
    </xf>
    <xf numFmtId="43" fontId="55" fillId="0" borderId="0" xfId="1" applyFont="1" applyAlignment="1">
      <alignment horizontal="center" vertical="center"/>
    </xf>
    <xf numFmtId="9" fontId="55" fillId="0" borderId="0" xfId="2" applyFont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50" fillId="4" borderId="32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left" vertical="center"/>
    </xf>
    <xf numFmtId="164" fontId="15" fillId="0" borderId="8" xfId="0" applyNumberFormat="1" applyFont="1" applyFill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0" fontId="15" fillId="0" borderId="2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left" vertical="center"/>
    </xf>
    <xf numFmtId="164" fontId="15" fillId="0" borderId="3" xfId="0" applyNumberFormat="1" applyFont="1" applyFill="1" applyBorder="1" applyAlignment="1">
      <alignment horizontal="center" vertical="center"/>
    </xf>
    <xf numFmtId="164" fontId="15" fillId="0" borderId="41" xfId="0" applyNumberFormat="1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164" fontId="15" fillId="0" borderId="5" xfId="0" applyNumberFormat="1" applyFont="1" applyFill="1" applyBorder="1" applyAlignment="1">
      <alignment horizontal="center" vertical="center"/>
    </xf>
    <xf numFmtId="164" fontId="15" fillId="0" borderId="43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4" fillId="2" borderId="10" xfId="0" applyFont="1" applyFill="1" applyBorder="1" applyAlignment="1">
      <alignment horizontal="center" vertical="center"/>
    </xf>
    <xf numFmtId="0" fontId="16" fillId="2" borderId="69" xfId="0" applyFont="1" applyFill="1" applyBorder="1" applyAlignment="1">
      <alignment horizontal="center" vertical="center"/>
    </xf>
    <xf numFmtId="0" fontId="15" fillId="0" borderId="65" xfId="0" applyFont="1" applyFill="1" applyBorder="1" applyAlignment="1">
      <alignment horizontal="center" vertical="center"/>
    </xf>
    <xf numFmtId="0" fontId="15" fillId="0" borderId="36" xfId="0" applyFont="1" applyBorder="1" applyAlignment="1">
      <alignment horizontal="left" vertical="center" wrapText="1"/>
    </xf>
    <xf numFmtId="164" fontId="15" fillId="0" borderId="36" xfId="0" applyNumberFormat="1" applyFont="1" applyFill="1" applyBorder="1" applyAlignment="1">
      <alignment horizontal="center" vertical="center"/>
    </xf>
    <xf numFmtId="164" fontId="15" fillId="3" borderId="36" xfId="0" applyNumberFormat="1" applyFont="1" applyFill="1" applyBorder="1" applyAlignment="1">
      <alignment horizontal="center" vertical="center"/>
    </xf>
    <xf numFmtId="164" fontId="15" fillId="0" borderId="66" xfId="0" applyNumberFormat="1" applyFont="1" applyFill="1" applyBorder="1" applyAlignment="1">
      <alignment horizontal="center" vertical="center"/>
    </xf>
    <xf numFmtId="0" fontId="15" fillId="0" borderId="67" xfId="0" applyFont="1" applyFill="1" applyBorder="1" applyAlignment="1">
      <alignment horizontal="center" vertical="center"/>
    </xf>
    <xf numFmtId="164" fontId="15" fillId="0" borderId="78" xfId="0" applyNumberFormat="1" applyFont="1" applyFill="1" applyBorder="1" applyAlignment="1">
      <alignment horizontal="center" vertical="center"/>
    </xf>
    <xf numFmtId="164" fontId="15" fillId="0" borderId="29" xfId="0" applyNumberFormat="1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43" fontId="2" fillId="0" borderId="0" xfId="1" applyFont="1" applyAlignment="1">
      <alignment horizontal="left"/>
    </xf>
    <xf numFmtId="0" fontId="14" fillId="2" borderId="34" xfId="0" applyFont="1" applyFill="1" applyBorder="1" applyAlignment="1">
      <alignment horizontal="center" vertical="center"/>
    </xf>
    <xf numFmtId="164" fontId="15" fillId="3" borderId="9" xfId="0" applyNumberFormat="1" applyFont="1" applyFill="1" applyBorder="1" applyAlignment="1">
      <alignment horizontal="center" vertical="center"/>
    </xf>
    <xf numFmtId="164" fontId="15" fillId="3" borderId="32" xfId="0" applyNumberFormat="1" applyFont="1" applyFill="1" applyBorder="1" applyAlignment="1">
      <alignment horizontal="center" vertical="center"/>
    </xf>
    <xf numFmtId="0" fontId="15" fillId="0" borderId="82" xfId="0" applyFont="1" applyFill="1" applyBorder="1" applyAlignment="1">
      <alignment horizontal="center" vertical="center" wrapText="1"/>
    </xf>
    <xf numFmtId="0" fontId="52" fillId="2" borderId="4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42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50" fillId="0" borderId="1" xfId="0" applyFont="1" applyFill="1" applyBorder="1" applyAlignment="1">
      <alignment horizontal="left" vertical="center" wrapText="1"/>
    </xf>
    <xf numFmtId="0" fontId="50" fillId="0" borderId="13" xfId="0" applyFont="1" applyFill="1" applyBorder="1" applyAlignment="1">
      <alignment horizontal="left" vertical="center" wrapText="1"/>
    </xf>
    <xf numFmtId="0" fontId="50" fillId="0" borderId="13" xfId="0" applyFont="1" applyFill="1" applyBorder="1" applyAlignment="1">
      <alignment horizontal="center" vertical="center"/>
    </xf>
    <xf numFmtId="164" fontId="50" fillId="0" borderId="13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14" fillId="7" borderId="1" xfId="0" applyFont="1" applyFill="1" applyBorder="1" applyAlignment="1">
      <alignment vertical="center"/>
    </xf>
    <xf numFmtId="43" fontId="0" fillId="0" borderId="1" xfId="1" applyFont="1" applyBorder="1" applyAlignment="1">
      <alignment horizontal="center" vertical="center"/>
    </xf>
    <xf numFmtId="0" fontId="14" fillId="7" borderId="1" xfId="0" applyFont="1" applyFill="1" applyBorder="1" applyAlignment="1">
      <alignment vertical="center" wrapText="1"/>
    </xf>
    <xf numFmtId="0" fontId="0" fillId="8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4" fillId="2" borderId="67" xfId="0" applyFont="1" applyFill="1" applyBorder="1" applyAlignment="1">
      <alignment horizontal="center" vertical="center"/>
    </xf>
    <xf numFmtId="166" fontId="0" fillId="8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Border="1" applyAlignment="1">
      <alignment horizontal="center" vertical="center"/>
    </xf>
    <xf numFmtId="166" fontId="6" fillId="8" borderId="1" xfId="1" applyNumberFormat="1" applyFont="1" applyFill="1" applyBorder="1" applyAlignment="1">
      <alignment horizontal="center" vertical="center"/>
    </xf>
    <xf numFmtId="166" fontId="0" fillId="0" borderId="1" xfId="1" applyNumberFormat="1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9" fontId="2" fillId="0" borderId="0" xfId="2" applyFont="1" applyAlignment="1">
      <alignment horizontal="center" vertical="center"/>
    </xf>
    <xf numFmtId="43" fontId="2" fillId="0" borderId="0" xfId="1" applyFont="1" applyAlignment="1">
      <alignment horizontal="left" vertical="center"/>
    </xf>
    <xf numFmtId="43" fontId="2" fillId="0" borderId="0" xfId="1" applyFont="1" applyAlignment="1">
      <alignment horizontal="right" vertical="center"/>
    </xf>
    <xf numFmtId="166" fontId="4" fillId="0" borderId="30" xfId="0" applyNumberFormat="1" applyFont="1" applyFill="1" applyBorder="1" applyAlignment="1">
      <alignment horizontal="center" vertical="center"/>
    </xf>
    <xf numFmtId="166" fontId="4" fillId="0" borderId="9" xfId="0" applyNumberFormat="1" applyFont="1" applyFill="1" applyBorder="1" applyAlignment="1">
      <alignment horizontal="center" vertical="center"/>
    </xf>
    <xf numFmtId="166" fontId="4" fillId="0" borderId="32" xfId="0" applyNumberFormat="1" applyFont="1" applyFill="1" applyBorder="1" applyAlignment="1">
      <alignment horizontal="center" vertical="center"/>
    </xf>
    <xf numFmtId="0" fontId="28" fillId="2" borderId="38" xfId="0" applyFont="1" applyFill="1" applyBorder="1" applyAlignment="1">
      <alignment horizontal="center" vertical="center"/>
    </xf>
    <xf numFmtId="0" fontId="28" fillId="2" borderId="56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28" fillId="2" borderId="70" xfId="0" applyFont="1" applyFill="1" applyBorder="1" applyAlignment="1">
      <alignment horizontal="center" vertical="center"/>
    </xf>
    <xf numFmtId="0" fontId="28" fillId="2" borderId="89" xfId="0" applyFont="1" applyFill="1" applyBorder="1" applyAlignment="1">
      <alignment horizontal="center" vertical="center"/>
    </xf>
    <xf numFmtId="0" fontId="29" fillId="2" borderId="87" xfId="0" applyFont="1" applyFill="1" applyBorder="1" applyAlignment="1">
      <alignment horizontal="center" vertical="center"/>
    </xf>
    <xf numFmtId="0" fontId="27" fillId="0" borderId="67" xfId="0" applyFont="1" applyFill="1" applyBorder="1" applyAlignment="1">
      <alignment horizontal="center" vertical="center"/>
    </xf>
    <xf numFmtId="0" fontId="27" fillId="0" borderId="49" xfId="0" applyFont="1" applyFill="1" applyBorder="1" applyAlignment="1">
      <alignment horizontal="center" vertical="center" wrapText="1"/>
    </xf>
    <xf numFmtId="164" fontId="27" fillId="0" borderId="90" xfId="0" applyNumberFormat="1" applyFont="1" applyFill="1" applyBorder="1" applyAlignment="1">
      <alignment horizontal="center" vertical="center"/>
    </xf>
    <xf numFmtId="164" fontId="27" fillId="0" borderId="82" xfId="0" applyNumberFormat="1" applyFont="1" applyFill="1" applyBorder="1" applyAlignment="1">
      <alignment horizontal="center" vertical="center"/>
    </xf>
    <xf numFmtId="0" fontId="29" fillId="2" borderId="47" xfId="0" applyFont="1" applyFill="1" applyBorder="1" applyAlignment="1">
      <alignment horizontal="center" vertical="center"/>
    </xf>
    <xf numFmtId="0" fontId="27" fillId="0" borderId="4" xfId="0" applyFont="1" applyFill="1" applyBorder="1" applyAlignment="1">
      <alignment horizontal="center" vertical="center"/>
    </xf>
    <xf numFmtId="0" fontId="27" fillId="0" borderId="42" xfId="0" applyFont="1" applyFill="1" applyBorder="1" applyAlignment="1">
      <alignment horizontal="center" vertical="center" wrapText="1"/>
    </xf>
    <xf numFmtId="164" fontId="27" fillId="0" borderId="14" xfId="0" applyNumberFormat="1" applyFont="1" applyFill="1" applyBorder="1" applyAlignment="1">
      <alignment horizontal="center" vertical="center"/>
    </xf>
    <xf numFmtId="43" fontId="26" fillId="0" borderId="0" xfId="1" applyFont="1" applyFill="1" applyAlignment="1">
      <alignment horizontal="center" vertical="center"/>
    </xf>
    <xf numFmtId="0" fontId="27" fillId="5" borderId="4" xfId="0" applyFont="1" applyFill="1" applyBorder="1" applyAlignment="1">
      <alignment horizontal="center" vertical="center"/>
    </xf>
    <xf numFmtId="0" fontId="27" fillId="5" borderId="42" xfId="0" applyFont="1" applyFill="1" applyBorder="1" applyAlignment="1">
      <alignment horizontal="center" vertical="center" wrapText="1"/>
    </xf>
    <xf numFmtId="164" fontId="27" fillId="5" borderId="31" xfId="0" applyNumberFormat="1" applyFont="1" applyFill="1" applyBorder="1" applyAlignment="1">
      <alignment horizontal="center" vertical="center"/>
    </xf>
    <xf numFmtId="164" fontId="27" fillId="5" borderId="90" xfId="0" applyNumberFormat="1" applyFont="1" applyFill="1" applyBorder="1" applyAlignment="1">
      <alignment horizontal="center" vertical="center"/>
    </xf>
    <xf numFmtId="164" fontId="27" fillId="5" borderId="14" xfId="0" applyNumberFormat="1" applyFont="1" applyFill="1" applyBorder="1" applyAlignment="1">
      <alignment horizontal="center" vertical="center"/>
    </xf>
    <xf numFmtId="164" fontId="27" fillId="5" borderId="32" xfId="0" applyNumberFormat="1" applyFont="1" applyFill="1" applyBorder="1" applyAlignment="1">
      <alignment horizontal="center" vertical="center"/>
    </xf>
    <xf numFmtId="2" fontId="26" fillId="0" borderId="0" xfId="0" applyNumberFormat="1" applyFont="1" applyFill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2" fillId="0" borderId="0" xfId="0" applyFont="1" applyAlignment="1">
      <alignment horizontal="center" vertical="center"/>
    </xf>
    <xf numFmtId="0" fontId="65" fillId="2" borderId="37" xfId="0" applyFont="1" applyFill="1" applyBorder="1" applyAlignment="1">
      <alignment horizontal="right" vertical="center"/>
    </xf>
    <xf numFmtId="0" fontId="65" fillId="2" borderId="38" xfId="0" applyFont="1" applyFill="1" applyBorder="1" applyAlignment="1">
      <alignment horizontal="left" vertical="center"/>
    </xf>
    <xf numFmtId="0" fontId="63" fillId="2" borderId="40" xfId="0" applyFont="1" applyFill="1" applyBorder="1" applyAlignment="1">
      <alignment vertical="center"/>
    </xf>
    <xf numFmtId="0" fontId="63" fillId="2" borderId="11" xfId="0" applyFont="1" applyFill="1" applyBorder="1" applyAlignment="1">
      <alignment horizontal="center" vertical="center"/>
    </xf>
    <xf numFmtId="0" fontId="63" fillId="2" borderId="39" xfId="0" applyFont="1" applyFill="1" applyBorder="1" applyAlignment="1">
      <alignment horizontal="center" vertical="center"/>
    </xf>
    <xf numFmtId="0" fontId="63" fillId="2" borderId="34" xfId="0" applyFont="1" applyFill="1" applyBorder="1" applyAlignment="1">
      <alignment horizontal="center" vertical="center"/>
    </xf>
    <xf numFmtId="0" fontId="63" fillId="2" borderId="38" xfId="0" applyFont="1" applyFill="1" applyBorder="1" applyAlignment="1">
      <alignment horizontal="center" vertical="center"/>
    </xf>
    <xf numFmtId="0" fontId="64" fillId="2" borderId="19" xfId="0" applyFont="1" applyFill="1" applyBorder="1" applyAlignment="1">
      <alignment horizontal="center" vertical="center"/>
    </xf>
    <xf numFmtId="0" fontId="62" fillId="0" borderId="9" xfId="0" applyFont="1" applyFill="1" applyBorder="1" applyAlignment="1">
      <alignment horizontal="center" vertical="center"/>
    </xf>
    <xf numFmtId="0" fontId="62" fillId="0" borderId="6" xfId="0" applyFont="1" applyFill="1" applyBorder="1" applyAlignment="1">
      <alignment horizontal="center" vertical="center" wrapText="1"/>
    </xf>
    <xf numFmtId="164" fontId="62" fillId="0" borderId="30" xfId="0" applyNumberFormat="1" applyFont="1" applyFill="1" applyBorder="1" applyAlignment="1">
      <alignment horizontal="center" vertical="center"/>
    </xf>
    <xf numFmtId="164" fontId="62" fillId="0" borderId="9" xfId="0" applyNumberFormat="1" applyFont="1" applyFill="1" applyBorder="1" applyAlignment="1">
      <alignment horizontal="center" vertical="center"/>
    </xf>
    <xf numFmtId="164" fontId="62" fillId="0" borderId="32" xfId="0" applyNumberFormat="1" applyFont="1" applyFill="1" applyBorder="1" applyAlignment="1">
      <alignment horizontal="center" vertical="center"/>
    </xf>
    <xf numFmtId="0" fontId="61" fillId="0" borderId="0" xfId="0" applyFont="1" applyFill="1" applyAlignment="1">
      <alignment horizontal="center" vertical="center"/>
    </xf>
    <xf numFmtId="9" fontId="61" fillId="0" borderId="0" xfId="2" applyFont="1" applyAlignment="1">
      <alignment horizontal="center" vertical="center"/>
    </xf>
    <xf numFmtId="0" fontId="61" fillId="0" borderId="0" xfId="0" applyFont="1" applyAlignment="1">
      <alignment horizontal="left" vertical="center"/>
    </xf>
    <xf numFmtId="43" fontId="61" fillId="0" borderId="0" xfId="1" applyFont="1" applyAlignment="1">
      <alignment horizontal="center" vertical="center"/>
    </xf>
    <xf numFmtId="43" fontId="61" fillId="0" borderId="0" xfId="1" applyFont="1" applyAlignment="1">
      <alignment horizontal="left" vertical="center"/>
    </xf>
    <xf numFmtId="43" fontId="61" fillId="0" borderId="0" xfId="1" applyFont="1" applyAlignment="1">
      <alignment horizontal="right" vertical="center"/>
    </xf>
    <xf numFmtId="164" fontId="62" fillId="3" borderId="30" xfId="0" applyNumberFormat="1" applyFont="1" applyFill="1" applyBorder="1" applyAlignment="1">
      <alignment horizontal="center" vertical="center"/>
    </xf>
    <xf numFmtId="1" fontId="67" fillId="0" borderId="0" xfId="0" applyNumberFormat="1" applyFont="1" applyFill="1" applyAlignment="1">
      <alignment horizontal="left" vertical="center"/>
    </xf>
    <xf numFmtId="0" fontId="3" fillId="2" borderId="34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63" fillId="2" borderId="34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164" fontId="62" fillId="3" borderId="32" xfId="0" applyNumberFormat="1" applyFont="1" applyFill="1" applyBorder="1" applyAlignment="1">
      <alignment horizontal="center" vertical="center"/>
    </xf>
    <xf numFmtId="164" fontId="62" fillId="3" borderId="9" xfId="0" applyNumberFormat="1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164" fontId="15" fillId="0" borderId="8" xfId="0" applyNumberFormat="1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15" fillId="0" borderId="8" xfId="0" applyNumberFormat="1" applyFont="1" applyFill="1" applyBorder="1" applyAlignment="1">
      <alignment horizontal="center" vertical="center"/>
    </xf>
    <xf numFmtId="164" fontId="15" fillId="0" borderId="93" xfId="0" applyNumberFormat="1" applyFont="1" applyFill="1" applyBorder="1" applyAlignment="1">
      <alignment horizontal="center" vertical="center"/>
    </xf>
    <xf numFmtId="0" fontId="17" fillId="2" borderId="35" xfId="0" applyFont="1" applyFill="1" applyBorder="1" applyAlignment="1">
      <alignment horizontal="right" vertical="center"/>
    </xf>
    <xf numFmtId="0" fontId="17" fillId="2" borderId="95" xfId="0" applyFont="1" applyFill="1" applyBorder="1" applyAlignment="1">
      <alignment horizontal="left" vertical="center"/>
    </xf>
    <xf numFmtId="0" fontId="14" fillId="2" borderId="74" xfId="0" applyFont="1" applyFill="1" applyBorder="1" applyAlignment="1">
      <alignment horizontal="center" vertical="center"/>
    </xf>
    <xf numFmtId="0" fontId="16" fillId="2" borderId="87" xfId="0" applyFont="1" applyFill="1" applyBorder="1" applyAlignment="1">
      <alignment horizontal="center" vertical="center"/>
    </xf>
    <xf numFmtId="164" fontId="15" fillId="0" borderId="59" xfId="0" applyNumberFormat="1" applyFont="1" applyFill="1" applyBorder="1" applyAlignment="1">
      <alignment horizontal="center" vertical="center"/>
    </xf>
    <xf numFmtId="164" fontId="15" fillId="0" borderId="60" xfId="0" applyNumberFormat="1" applyFont="1" applyFill="1" applyBorder="1" applyAlignment="1">
      <alignment horizontal="center" vertical="center"/>
    </xf>
    <xf numFmtId="0" fontId="16" fillId="2" borderId="96" xfId="0" applyFont="1" applyFill="1" applyBorder="1" applyAlignment="1">
      <alignment horizontal="center" vertical="center"/>
    </xf>
    <xf numFmtId="0" fontId="15" fillId="0" borderId="13" xfId="0" applyNumberFormat="1" applyFont="1" applyFill="1" applyBorder="1" applyAlignment="1">
      <alignment horizontal="center" vertical="center"/>
    </xf>
    <xf numFmtId="164" fontId="15" fillId="0" borderId="97" xfId="0" applyNumberFormat="1" applyFont="1" applyFill="1" applyBorder="1" applyAlignment="1">
      <alignment horizontal="center" vertical="center"/>
    </xf>
    <xf numFmtId="164" fontId="15" fillId="0" borderId="33" xfId="0" applyNumberFormat="1" applyFont="1" applyFill="1" applyBorder="1" applyAlignment="1">
      <alignment horizontal="center" vertic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6" fillId="2" borderId="67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9" fillId="0" borderId="0" xfId="0" applyFont="1" applyAlignment="1">
      <alignment vertical="center" wrapText="1"/>
    </xf>
    <xf numFmtId="0" fontId="15" fillId="0" borderId="0" xfId="0" applyFont="1" applyAlignment="1">
      <alignment horizontal="left" vertical="center"/>
    </xf>
    <xf numFmtId="0" fontId="16" fillId="2" borderId="68" xfId="0" applyFont="1" applyFill="1" applyBorder="1" applyAlignment="1">
      <alignment horizontal="center" vertical="center"/>
    </xf>
    <xf numFmtId="0" fontId="15" fillId="0" borderId="13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0" fontId="24" fillId="2" borderId="67" xfId="0" applyFont="1" applyFill="1" applyBorder="1" applyAlignment="1">
      <alignment horizontal="center" vertical="center"/>
    </xf>
    <xf numFmtId="164" fontId="51" fillId="0" borderId="58" xfId="0" applyNumberFormat="1" applyFont="1" applyBorder="1" applyAlignment="1">
      <alignment horizontal="center" vertical="center"/>
    </xf>
    <xf numFmtId="164" fontId="51" fillId="0" borderId="61" xfId="0" applyNumberFormat="1" applyFont="1" applyBorder="1" applyAlignment="1">
      <alignment horizontal="center" vertical="center"/>
    </xf>
    <xf numFmtId="0" fontId="49" fillId="2" borderId="54" xfId="0" applyFont="1" applyFill="1" applyBorder="1" applyAlignment="1">
      <alignment horizontal="center" vertical="center"/>
    </xf>
    <xf numFmtId="0" fontId="49" fillId="2" borderId="38" xfId="0" applyFont="1" applyFill="1" applyBorder="1" applyAlignment="1">
      <alignment horizontal="center" vertical="center"/>
    </xf>
    <xf numFmtId="0" fontId="63" fillId="2" borderId="34" xfId="0" applyFont="1" applyFill="1" applyBorder="1" applyAlignment="1">
      <alignment horizontal="center" vertical="center"/>
    </xf>
    <xf numFmtId="10" fontId="61" fillId="0" borderId="0" xfId="2" applyNumberFormat="1" applyFont="1" applyAlignment="1">
      <alignment horizontal="center" vertical="center"/>
    </xf>
    <xf numFmtId="0" fontId="51" fillId="0" borderId="0" xfId="0" applyFont="1" applyAlignment="1">
      <alignment horizontal="center"/>
    </xf>
    <xf numFmtId="0" fontId="50" fillId="0" borderId="0" xfId="0" applyFont="1" applyAlignment="1">
      <alignment horizontal="center"/>
    </xf>
    <xf numFmtId="0" fontId="49" fillId="2" borderId="11" xfId="0" applyFont="1" applyFill="1" applyBorder="1" applyAlignment="1">
      <alignment horizontal="center" vertical="center"/>
    </xf>
    <xf numFmtId="0" fontId="49" fillId="2" borderId="34" xfId="0" applyFont="1" applyFill="1" applyBorder="1" applyAlignment="1">
      <alignment horizontal="center" vertical="center"/>
    </xf>
    <xf numFmtId="0" fontId="52" fillId="2" borderId="19" xfId="0" applyFont="1" applyFill="1" applyBorder="1" applyAlignment="1">
      <alignment horizontal="center" vertical="center"/>
    </xf>
    <xf numFmtId="0" fontId="50" fillId="0" borderId="9" xfId="0" applyFont="1" applyFill="1" applyBorder="1" applyAlignment="1">
      <alignment horizontal="center"/>
    </xf>
    <xf numFmtId="0" fontId="50" fillId="0" borderId="6" xfId="0" applyFont="1" applyFill="1" applyBorder="1" applyAlignment="1">
      <alignment horizontal="center" wrapText="1"/>
    </xf>
    <xf numFmtId="164" fontId="50" fillId="0" borderId="30" xfId="0" applyNumberFormat="1" applyFont="1" applyFill="1" applyBorder="1" applyAlignment="1">
      <alignment horizontal="center"/>
    </xf>
    <xf numFmtId="164" fontId="50" fillId="0" borderId="9" xfId="0" applyNumberFormat="1" applyFont="1" applyFill="1" applyBorder="1" applyAlignment="1">
      <alignment horizontal="center"/>
    </xf>
    <xf numFmtId="0" fontId="53" fillId="0" borderId="9" xfId="0" applyFont="1" applyFill="1" applyBorder="1" applyAlignment="1">
      <alignment horizontal="center"/>
    </xf>
    <xf numFmtId="164" fontId="50" fillId="0" borderId="32" xfId="0" applyNumberFormat="1" applyFont="1" applyFill="1" applyBorder="1" applyAlignment="1">
      <alignment horizontal="center"/>
    </xf>
    <xf numFmtId="0" fontId="50" fillId="0" borderId="0" xfId="0" applyFont="1" applyFill="1" applyAlignment="1">
      <alignment horizontal="center"/>
    </xf>
    <xf numFmtId="0" fontId="51" fillId="0" borderId="0" xfId="0" applyFont="1" applyFill="1" applyAlignment="1">
      <alignment horizontal="center"/>
    </xf>
    <xf numFmtId="0" fontId="52" fillId="2" borderId="20" xfId="0" applyFont="1" applyFill="1" applyBorder="1" applyAlignment="1">
      <alignment horizontal="center" vertical="center"/>
    </xf>
    <xf numFmtId="0" fontId="50" fillId="0" borderId="8" xfId="0" applyFont="1" applyFill="1" applyBorder="1" applyAlignment="1">
      <alignment horizontal="center"/>
    </xf>
    <xf numFmtId="0" fontId="50" fillId="0" borderId="1" xfId="0" applyFont="1" applyFill="1" applyBorder="1" applyAlignment="1">
      <alignment horizontal="center" wrapText="1"/>
    </xf>
    <xf numFmtId="164" fontId="50" fillId="0" borderId="31" xfId="0" applyNumberFormat="1" applyFont="1" applyFill="1" applyBorder="1" applyAlignment="1">
      <alignment horizontal="center"/>
    </xf>
    <xf numFmtId="0" fontId="53" fillId="0" borderId="8" xfId="0" applyFont="1" applyFill="1" applyBorder="1" applyAlignment="1">
      <alignment horizontal="center"/>
    </xf>
    <xf numFmtId="164" fontId="51" fillId="0" borderId="62" xfId="0" applyNumberFormat="1" applyFont="1" applyBorder="1" applyAlignment="1">
      <alignment horizontal="center"/>
    </xf>
    <xf numFmtId="43" fontId="51" fillId="0" borderId="0" xfId="1" applyFont="1" applyAlignment="1">
      <alignment horizontal="center"/>
    </xf>
    <xf numFmtId="0" fontId="3" fillId="2" borderId="34" xfId="0" applyFont="1" applyFill="1" applyBorder="1" applyAlignment="1">
      <alignment horizontal="center" vertical="center"/>
    </xf>
    <xf numFmtId="167" fontId="4" fillId="0" borderId="8" xfId="0" applyNumberFormat="1" applyFont="1" applyFill="1" applyBorder="1" applyAlignment="1">
      <alignment horizontal="center"/>
    </xf>
    <xf numFmtId="166" fontId="2" fillId="0" borderId="0" xfId="0" applyNumberFormat="1" applyFont="1" applyAlignment="1">
      <alignment horizontal="center" vertical="center"/>
    </xf>
    <xf numFmtId="2" fontId="2" fillId="0" borderId="0" xfId="0" applyNumberFormat="1" applyFont="1" applyFill="1" applyAlignment="1">
      <alignment horizontal="center"/>
    </xf>
    <xf numFmtId="166" fontId="2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13" fillId="0" borderId="2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 vertical="center"/>
    </xf>
    <xf numFmtId="0" fontId="13" fillId="0" borderId="4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1" fillId="2" borderId="7" xfId="0" applyFont="1" applyFill="1" applyBorder="1" applyAlignment="1">
      <alignment horizontal="center" vertical="center"/>
    </xf>
    <xf numFmtId="0" fontId="11" fillId="2" borderId="3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41" xfId="0" applyFont="1" applyFill="1" applyBorder="1" applyAlignment="1">
      <alignment horizontal="center" vertical="center" wrapText="1"/>
    </xf>
    <xf numFmtId="0" fontId="11" fillId="2" borderId="43" xfId="0" applyFont="1" applyFill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164" fontId="0" fillId="0" borderId="24" xfId="0" applyNumberFormat="1" applyFont="1" applyBorder="1" applyAlignment="1">
      <alignment horizontal="center" vertical="center"/>
    </xf>
    <xf numFmtId="164" fontId="0" fillId="0" borderId="10" xfId="0" applyNumberFormat="1" applyFont="1" applyBorder="1" applyAlignment="1">
      <alignment horizontal="center" vertical="center"/>
    </xf>
    <xf numFmtId="164" fontId="0" fillId="0" borderId="12" xfId="0" applyNumberFormat="1" applyFont="1" applyBorder="1" applyAlignment="1">
      <alignment horizontal="center" vertical="center"/>
    </xf>
    <xf numFmtId="0" fontId="14" fillId="2" borderId="16" xfId="0" applyFont="1" applyFill="1" applyBorder="1" applyAlignment="1">
      <alignment horizontal="center" vertical="center"/>
    </xf>
    <xf numFmtId="0" fontId="14" fillId="2" borderId="18" xfId="0" applyFont="1" applyFill="1" applyBorder="1" applyAlignment="1">
      <alignment horizontal="center" vertical="center"/>
    </xf>
    <xf numFmtId="164" fontId="0" fillId="0" borderId="23" xfId="0" applyNumberFormat="1" applyFont="1" applyBorder="1" applyAlignment="1">
      <alignment horizontal="center" vertical="center"/>
    </xf>
    <xf numFmtId="164" fontId="0" fillId="0" borderId="25" xfId="0" applyNumberFormat="1" applyFont="1" applyBorder="1" applyAlignment="1">
      <alignment horizontal="center" vertical="center"/>
    </xf>
    <xf numFmtId="164" fontId="0" fillId="0" borderId="14" xfId="0" applyNumberFormat="1" applyFont="1" applyBorder="1" applyAlignment="1">
      <alignment horizontal="center" vertical="center"/>
    </xf>
    <xf numFmtId="164" fontId="0" fillId="0" borderId="8" xfId="0" applyNumberFormat="1" applyFont="1" applyBorder="1" applyAlignment="1">
      <alignment horizontal="center" vertical="center"/>
    </xf>
    <xf numFmtId="0" fontId="15" fillId="0" borderId="47" xfId="0" applyFont="1" applyFill="1" applyBorder="1" applyAlignment="1">
      <alignment horizontal="center" vertical="center" wrapText="1"/>
    </xf>
    <xf numFmtId="0" fontId="15" fillId="0" borderId="8" xfId="0" applyFont="1" applyFill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64" fontId="0" fillId="0" borderId="28" xfId="0" applyNumberFormat="1" applyFont="1" applyBorder="1" applyAlignment="1">
      <alignment horizontal="center" vertical="center"/>
    </xf>
    <xf numFmtId="0" fontId="14" fillId="2" borderId="3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center" vertical="center"/>
    </xf>
    <xf numFmtId="0" fontId="16" fillId="2" borderId="35" xfId="0" applyFont="1" applyFill="1" applyBorder="1" applyAlignment="1">
      <alignment horizontal="center" vertical="center"/>
    </xf>
    <xf numFmtId="0" fontId="16" fillId="2" borderId="22" xfId="0" applyFont="1" applyFill="1" applyBorder="1" applyAlignment="1">
      <alignment horizontal="center" vertical="center"/>
    </xf>
    <xf numFmtId="0" fontId="14" fillId="2" borderId="34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164" fontId="0" fillId="0" borderId="27" xfId="0" applyNumberFormat="1" applyFont="1" applyBorder="1" applyAlignment="1">
      <alignment horizontal="center" vertical="center"/>
    </xf>
    <xf numFmtId="0" fontId="15" fillId="0" borderId="48" xfId="0" applyFont="1" applyFill="1" applyBorder="1" applyAlignment="1">
      <alignment horizontal="center" vertical="center" wrapText="1"/>
    </xf>
    <xf numFmtId="0" fontId="15" fillId="0" borderId="10" xfId="0" applyFont="1" applyFill="1" applyBorder="1" applyAlignment="1">
      <alignment horizontal="center" vertical="center" wrapText="1"/>
    </xf>
    <xf numFmtId="0" fontId="23" fillId="0" borderId="2" xfId="0" applyFont="1" applyBorder="1" applyAlignment="1">
      <alignment horizontal="center" vertical="center"/>
    </xf>
    <xf numFmtId="0" fontId="23" fillId="0" borderId="3" xfId="0" applyFont="1" applyBorder="1" applyAlignment="1">
      <alignment horizontal="center" vertical="center"/>
    </xf>
    <xf numFmtId="164" fontId="18" fillId="0" borderId="3" xfId="0" applyNumberFormat="1" applyFont="1" applyBorder="1" applyAlignment="1">
      <alignment horizontal="center" vertical="center"/>
    </xf>
    <xf numFmtId="164" fontId="18" fillId="0" borderId="41" xfId="0" applyNumberFormat="1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 vertical="center"/>
    </xf>
    <xf numFmtId="0" fontId="20" fillId="2" borderId="17" xfId="0" applyFont="1" applyFill="1" applyBorder="1" applyAlignment="1">
      <alignment horizontal="center" vertical="center"/>
    </xf>
    <xf numFmtId="0" fontId="20" fillId="2" borderId="18" xfId="0" applyFont="1" applyFill="1" applyBorder="1" applyAlignment="1">
      <alignment horizontal="center" vertical="center"/>
    </xf>
    <xf numFmtId="0" fontId="21" fillId="2" borderId="50" xfId="0" applyFont="1" applyFill="1" applyBorder="1" applyAlignment="1">
      <alignment horizontal="center" vertical="center"/>
    </xf>
    <xf numFmtId="0" fontId="21" fillId="2" borderId="51" xfId="0" applyFont="1" applyFill="1" applyBorder="1" applyAlignment="1">
      <alignment horizontal="center" vertical="center"/>
    </xf>
    <xf numFmtId="0" fontId="20" fillId="2" borderId="6" xfId="0" applyFont="1" applyFill="1" applyBorder="1" applyAlignment="1">
      <alignment horizontal="center" vertical="center"/>
    </xf>
    <xf numFmtId="0" fontId="20" fillId="2" borderId="49" xfId="0" applyFont="1" applyFill="1" applyBorder="1" applyAlignment="1">
      <alignment horizontal="center" vertical="center"/>
    </xf>
    <xf numFmtId="0" fontId="23" fillId="0" borderId="4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164" fontId="18" fillId="0" borderId="1" xfId="0" applyNumberFormat="1" applyFont="1" applyBorder="1" applyAlignment="1">
      <alignment horizontal="center" vertical="center"/>
    </xf>
    <xf numFmtId="9" fontId="18" fillId="0" borderId="1" xfId="2" applyFont="1" applyBorder="1" applyAlignment="1">
      <alignment horizontal="center" vertical="center"/>
    </xf>
    <xf numFmtId="9" fontId="18" fillId="0" borderId="42" xfId="2" applyFont="1" applyBorder="1" applyAlignment="1">
      <alignment horizontal="center" vertical="center"/>
    </xf>
    <xf numFmtId="164" fontId="18" fillId="0" borderId="42" xfId="0" applyNumberFormat="1" applyFont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 vertical="center"/>
    </xf>
    <xf numFmtId="164" fontId="18" fillId="0" borderId="43" xfId="0" applyNumberFormat="1" applyFont="1" applyBorder="1" applyAlignment="1">
      <alignment horizontal="center" vertical="center"/>
    </xf>
    <xf numFmtId="0" fontId="23" fillId="0" borderId="23" xfId="0" applyFont="1" applyBorder="1" applyAlignment="1">
      <alignment horizontal="center" vertical="center"/>
    </xf>
    <xf numFmtId="164" fontId="18" fillId="0" borderId="23" xfId="0" applyNumberFormat="1" applyFont="1" applyBorder="1" applyAlignment="1">
      <alignment horizontal="center" vertical="center"/>
    </xf>
    <xf numFmtId="164" fontId="18" fillId="0" borderId="25" xfId="0" applyNumberFormat="1" applyFont="1" applyBorder="1" applyAlignment="1">
      <alignment horizontal="center" vertical="center"/>
    </xf>
    <xf numFmtId="164" fontId="18" fillId="0" borderId="27" xfId="0" applyNumberFormat="1" applyFont="1" applyBorder="1" applyAlignment="1">
      <alignment horizontal="center" vertical="center"/>
    </xf>
    <xf numFmtId="0" fontId="23" fillId="0" borderId="7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1" fillId="2" borderId="35" xfId="0" applyFont="1" applyFill="1" applyBorder="1" applyAlignment="1">
      <alignment horizontal="center" vertical="center"/>
    </xf>
    <xf numFmtId="0" fontId="21" fillId="2" borderId="22" xfId="0" applyFont="1" applyFill="1" applyBorder="1" applyAlignment="1">
      <alignment horizontal="center" vertical="center"/>
    </xf>
    <xf numFmtId="0" fontId="20" fillId="2" borderId="34" xfId="0" applyFont="1" applyFill="1" applyBorder="1" applyAlignment="1">
      <alignment horizontal="center" vertical="center"/>
    </xf>
    <xf numFmtId="0" fontId="23" fillId="0" borderId="24" xfId="0" applyFont="1" applyBorder="1" applyAlignment="1">
      <alignment horizontal="center" vertical="center"/>
    </xf>
    <xf numFmtId="164" fontId="18" fillId="3" borderId="24" xfId="0" applyNumberFormat="1" applyFont="1" applyFill="1" applyBorder="1" applyAlignment="1">
      <alignment horizontal="center" vertical="center"/>
    </xf>
    <xf numFmtId="164" fontId="18" fillId="3" borderId="10" xfId="0" applyNumberFormat="1" applyFont="1" applyFill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 vertical="center"/>
    </xf>
    <xf numFmtId="164" fontId="18" fillId="0" borderId="10" xfId="0" applyNumberFormat="1" applyFont="1" applyBorder="1" applyAlignment="1">
      <alignment horizontal="center" vertical="center"/>
    </xf>
    <xf numFmtId="164" fontId="18" fillId="0" borderId="12" xfId="0" applyNumberFormat="1" applyFont="1" applyBorder="1" applyAlignment="1">
      <alignment horizontal="center" vertical="center"/>
    </xf>
    <xf numFmtId="0" fontId="23" fillId="0" borderId="14" xfId="0" applyFont="1" applyBorder="1" applyAlignment="1">
      <alignment horizontal="center" vertical="center"/>
    </xf>
    <xf numFmtId="164" fontId="18" fillId="0" borderId="14" xfId="0" applyNumberFormat="1" applyFont="1" applyBorder="1" applyAlignment="1">
      <alignment horizontal="center" vertical="center"/>
    </xf>
    <xf numFmtId="164" fontId="18" fillId="0" borderId="8" xfId="0" applyNumberFormat="1" applyFont="1" applyBorder="1" applyAlignment="1">
      <alignment horizontal="center" vertical="center"/>
    </xf>
    <xf numFmtId="164" fontId="18" fillId="0" borderId="28" xfId="0" applyNumberFormat="1" applyFont="1" applyBorder="1" applyAlignment="1">
      <alignment horizontal="center" vertical="center"/>
    </xf>
    <xf numFmtId="164" fontId="9" fillId="0" borderId="14" xfId="0" applyNumberFormat="1" applyFont="1" applyBorder="1" applyAlignment="1">
      <alignment horizontal="center" vertical="center"/>
    </xf>
    <xf numFmtId="164" fontId="9" fillId="0" borderId="28" xfId="0" applyNumberFormat="1" applyFont="1" applyBorder="1" applyAlignment="1">
      <alignment horizontal="center" vertical="center"/>
    </xf>
    <xf numFmtId="0" fontId="11" fillId="2" borderId="16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2" borderId="18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 vertical="center"/>
    </xf>
    <xf numFmtId="0" fontId="24" fillId="2" borderId="22" xfId="0" applyFont="1" applyFill="1" applyBorder="1" applyAlignment="1">
      <alignment horizontal="center" vertical="center"/>
    </xf>
    <xf numFmtId="0" fontId="11" fillId="2" borderId="34" xfId="0" applyFont="1" applyFill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164" fontId="9" fillId="0" borderId="23" xfId="0" applyNumberFormat="1" applyFont="1" applyBorder="1" applyAlignment="1">
      <alignment horizontal="center" vertical="center"/>
    </xf>
    <xf numFmtId="164" fontId="9" fillId="0" borderId="25" xfId="0" applyNumberFormat="1" applyFont="1" applyBorder="1" applyAlignment="1">
      <alignment horizontal="center" vertical="center"/>
    </xf>
    <xf numFmtId="164" fontId="9" fillId="0" borderId="27" xfId="0" applyNumberFormat="1" applyFont="1" applyBorder="1" applyAlignment="1">
      <alignment horizontal="center" vertical="center"/>
    </xf>
    <xf numFmtId="0" fontId="13" fillId="0" borderId="7" xfId="0" applyFont="1" applyBorder="1" applyAlignment="1">
      <alignment horizontal="center"/>
    </xf>
    <xf numFmtId="0" fontId="13" fillId="0" borderId="5" xfId="0" applyFont="1" applyBorder="1" applyAlignment="1">
      <alignment horizontal="center"/>
    </xf>
    <xf numFmtId="0" fontId="13" fillId="0" borderId="24" xfId="0" applyFont="1" applyBorder="1" applyAlignment="1">
      <alignment horizontal="center"/>
    </xf>
    <xf numFmtId="164" fontId="9" fillId="0" borderId="24" xfId="0" applyNumberFormat="1" applyFont="1" applyBorder="1" applyAlignment="1">
      <alignment horizontal="center"/>
    </xf>
    <xf numFmtId="164" fontId="9" fillId="0" borderId="10" xfId="0" applyNumberFormat="1" applyFont="1" applyBorder="1" applyAlignment="1">
      <alignment horizontal="center"/>
    </xf>
    <xf numFmtId="164" fontId="9" fillId="0" borderId="12" xfId="0" applyNumberFormat="1" applyFont="1" applyBorder="1" applyAlignment="1">
      <alignment horizontal="center"/>
    </xf>
    <xf numFmtId="0" fontId="13" fillId="0" borderId="14" xfId="0" applyFont="1" applyBorder="1" applyAlignment="1">
      <alignment horizontal="center" vertical="center"/>
    </xf>
    <xf numFmtId="164" fontId="9" fillId="0" borderId="8" xfId="0" applyNumberFormat="1" applyFont="1" applyBorder="1" applyAlignment="1">
      <alignment horizontal="center" vertical="center"/>
    </xf>
    <xf numFmtId="9" fontId="9" fillId="0" borderId="14" xfId="2" applyFont="1" applyBorder="1" applyAlignment="1">
      <alignment horizontal="center" vertical="center"/>
    </xf>
    <xf numFmtId="9" fontId="9" fillId="0" borderId="28" xfId="2" applyFont="1" applyBorder="1" applyAlignment="1">
      <alignment horizontal="center" vertical="center"/>
    </xf>
    <xf numFmtId="0" fontId="13" fillId="0" borderId="4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4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3" fillId="2" borderId="16" xfId="0" applyFont="1" applyFill="1" applyBorder="1" applyAlignment="1">
      <alignment horizontal="center"/>
    </xf>
    <xf numFmtId="0" fontId="3" fillId="2" borderId="36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3" fillId="2" borderId="18" xfId="0" applyFont="1" applyFill="1" applyBorder="1" applyAlignment="1">
      <alignment horizontal="center"/>
    </xf>
    <xf numFmtId="0" fontId="7" fillId="2" borderId="35" xfId="0" applyFont="1" applyFill="1" applyBorder="1" applyAlignment="1">
      <alignment horizontal="center" vertical="center"/>
    </xf>
    <xf numFmtId="0" fontId="7" fillId="2" borderId="2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0" fillId="2" borderId="16" xfId="0" applyFont="1" applyFill="1" applyBorder="1" applyAlignment="1">
      <alignment horizontal="center"/>
    </xf>
    <xf numFmtId="0" fontId="20" fillId="2" borderId="36" xfId="0" applyFont="1" applyFill="1" applyBorder="1" applyAlignment="1">
      <alignment horizontal="center"/>
    </xf>
    <xf numFmtId="0" fontId="20" fillId="2" borderId="17" xfId="0" applyFont="1" applyFill="1" applyBorder="1" applyAlignment="1">
      <alignment horizontal="center"/>
    </xf>
    <xf numFmtId="0" fontId="20" fillId="2" borderId="18" xfId="0" applyFont="1" applyFill="1" applyBorder="1" applyAlignment="1">
      <alignment horizontal="center"/>
    </xf>
    <xf numFmtId="0" fontId="23" fillId="0" borderId="4" xfId="0" applyFont="1" applyBorder="1" applyAlignment="1">
      <alignment horizontal="center"/>
    </xf>
    <xf numFmtId="0" fontId="23" fillId="0" borderId="1" xfId="0" applyFont="1" applyBorder="1" applyAlignment="1">
      <alignment horizontal="center"/>
    </xf>
    <xf numFmtId="0" fontId="23" fillId="0" borderId="14" xfId="0" applyFont="1" applyBorder="1" applyAlignment="1">
      <alignment horizontal="center"/>
    </xf>
    <xf numFmtId="9" fontId="18" fillId="0" borderId="14" xfId="2" applyFont="1" applyBorder="1" applyAlignment="1">
      <alignment horizontal="center" vertical="center"/>
    </xf>
    <xf numFmtId="9" fontId="18" fillId="0" borderId="28" xfId="2" applyFont="1" applyBorder="1" applyAlignment="1">
      <alignment horizontal="center" vertical="center"/>
    </xf>
    <xf numFmtId="9" fontId="18" fillId="0" borderId="8" xfId="2" applyFont="1" applyBorder="1" applyAlignment="1">
      <alignment horizontal="center" vertical="center"/>
    </xf>
    <xf numFmtId="164" fontId="18" fillId="0" borderId="24" xfId="0" applyNumberFormat="1" applyFont="1" applyBorder="1" applyAlignment="1">
      <alignment horizontal="center"/>
    </xf>
    <xf numFmtId="164" fontId="18" fillId="0" borderId="12" xfId="0" applyNumberFormat="1" applyFont="1" applyBorder="1" applyAlignment="1">
      <alignment horizontal="center"/>
    </xf>
    <xf numFmtId="0" fontId="23" fillId="0" borderId="7" xfId="0" applyFont="1" applyBorder="1" applyAlignment="1">
      <alignment horizontal="center"/>
    </xf>
    <xf numFmtId="0" fontId="23" fillId="0" borderId="5" xfId="0" applyFont="1" applyBorder="1" applyAlignment="1">
      <alignment horizontal="center"/>
    </xf>
    <xf numFmtId="0" fontId="23" fillId="0" borderId="24" xfId="0" applyFont="1" applyBorder="1" applyAlignment="1">
      <alignment horizontal="center"/>
    </xf>
    <xf numFmtId="164" fontId="18" fillId="0" borderId="10" xfId="0" applyNumberFormat="1" applyFont="1" applyBorder="1" applyAlignment="1">
      <alignment horizontal="center"/>
    </xf>
    <xf numFmtId="0" fontId="5" fillId="0" borderId="7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 vertical="center"/>
    </xf>
    <xf numFmtId="164" fontId="2" fillId="0" borderId="28" xfId="0" applyNumberFormat="1" applyFont="1" applyBorder="1" applyAlignment="1">
      <alignment horizontal="center" vertical="center"/>
    </xf>
    <xf numFmtId="164" fontId="2" fillId="0" borderId="23" xfId="0" applyNumberFormat="1" applyFont="1" applyBorder="1" applyAlignment="1">
      <alignment horizontal="center" vertical="center"/>
    </xf>
    <xf numFmtId="164" fontId="2" fillId="0" borderId="25" xfId="0" applyNumberFormat="1" applyFont="1" applyBorder="1" applyAlignment="1">
      <alignment horizontal="center" vertical="center"/>
    </xf>
    <xf numFmtId="164" fontId="2" fillId="0" borderId="27" xfId="0" applyNumberFormat="1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36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34" xfId="0" applyFont="1" applyFill="1" applyBorder="1" applyAlignment="1">
      <alignment horizontal="center" vertical="center"/>
    </xf>
    <xf numFmtId="164" fontId="2" fillId="0" borderId="24" xfId="0" applyNumberFormat="1" applyFont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0" borderId="12" xfId="0" applyNumberFormat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165" fontId="9" fillId="0" borderId="23" xfId="0" applyNumberFormat="1" applyFont="1" applyBorder="1" applyAlignment="1">
      <alignment horizontal="center" vertical="center"/>
    </xf>
    <xf numFmtId="165" fontId="9" fillId="0" borderId="25" xfId="0" applyNumberFormat="1" applyFont="1" applyBorder="1" applyAlignment="1">
      <alignment horizontal="center" vertical="center"/>
    </xf>
    <xf numFmtId="165" fontId="9" fillId="0" borderId="27" xfId="0" applyNumberFormat="1" applyFont="1" applyBorder="1" applyAlignment="1">
      <alignment horizontal="center" vertical="center"/>
    </xf>
    <xf numFmtId="165" fontId="9" fillId="0" borderId="14" xfId="0" applyNumberFormat="1" applyFont="1" applyBorder="1" applyAlignment="1">
      <alignment horizontal="center" vertical="center"/>
    </xf>
    <xf numFmtId="165" fontId="9" fillId="0" borderId="8" xfId="0" applyNumberFormat="1" applyFont="1" applyBorder="1" applyAlignment="1">
      <alignment horizontal="center" vertical="center"/>
    </xf>
    <xf numFmtId="165" fontId="9" fillId="0" borderId="28" xfId="0" applyNumberFormat="1" applyFont="1" applyBorder="1" applyAlignment="1">
      <alignment horizontal="center" vertical="center"/>
    </xf>
    <xf numFmtId="165" fontId="9" fillId="3" borderId="24" xfId="0" applyNumberFormat="1" applyFont="1" applyFill="1" applyBorder="1" applyAlignment="1">
      <alignment horizontal="center"/>
    </xf>
    <xf numFmtId="165" fontId="9" fillId="3" borderId="10" xfId="0" applyNumberFormat="1" applyFont="1" applyFill="1" applyBorder="1" applyAlignment="1">
      <alignment horizontal="center"/>
    </xf>
    <xf numFmtId="165" fontId="9" fillId="0" borderId="24" xfId="0" applyNumberFormat="1" applyFont="1" applyBorder="1" applyAlignment="1">
      <alignment horizontal="center"/>
    </xf>
    <xf numFmtId="165" fontId="9" fillId="0" borderId="10" xfId="0" applyNumberFormat="1" applyFont="1" applyBorder="1" applyAlignment="1">
      <alignment horizontal="center"/>
    </xf>
    <xf numFmtId="165" fontId="9" fillId="0" borderId="12" xfId="0" applyNumberFormat="1" applyFont="1" applyBorder="1" applyAlignment="1">
      <alignment horizontal="center"/>
    </xf>
    <xf numFmtId="164" fontId="9" fillId="3" borderId="24" xfId="0" applyNumberFormat="1" applyFont="1" applyFill="1" applyBorder="1" applyAlignment="1">
      <alignment horizontal="center"/>
    </xf>
    <xf numFmtId="164" fontId="9" fillId="3" borderId="10" xfId="0" applyNumberFormat="1" applyFont="1" applyFill="1" applyBorder="1" applyAlignment="1">
      <alignment horizontal="center"/>
    </xf>
    <xf numFmtId="9" fontId="0" fillId="0" borderId="14" xfId="2" applyFont="1" applyBorder="1" applyAlignment="1">
      <alignment horizontal="center" vertical="center"/>
    </xf>
    <xf numFmtId="9" fontId="0" fillId="0" borderId="8" xfId="2" applyFont="1" applyBorder="1" applyAlignment="1">
      <alignment horizontal="center" vertical="center"/>
    </xf>
    <xf numFmtId="9" fontId="0" fillId="0" borderId="28" xfId="2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164" fontId="2" fillId="0" borderId="58" xfId="0" applyNumberFormat="1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164" fontId="2" fillId="0" borderId="61" xfId="0" applyNumberFormat="1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164" fontId="2" fillId="0" borderId="62" xfId="0" applyNumberFormat="1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9" fontId="2" fillId="0" borderId="14" xfId="2" applyFont="1" applyBorder="1" applyAlignment="1">
      <alignment horizontal="center" vertical="center"/>
    </xf>
    <xf numFmtId="9" fontId="2" fillId="0" borderId="8" xfId="2" applyFont="1" applyBorder="1" applyAlignment="1">
      <alignment horizontal="center" vertical="center"/>
    </xf>
    <xf numFmtId="0" fontId="3" fillId="2" borderId="65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center" vertical="center"/>
    </xf>
    <xf numFmtId="0" fontId="20" fillId="2" borderId="2" xfId="0" applyFont="1" applyFill="1" applyBorder="1" applyAlignment="1">
      <alignment horizontal="center" vertical="center"/>
    </xf>
    <xf numFmtId="0" fontId="20" fillId="2" borderId="3" xfId="0" applyFont="1" applyFill="1" applyBorder="1" applyAlignment="1">
      <alignment horizontal="center" vertical="center"/>
    </xf>
    <xf numFmtId="0" fontId="20" fillId="2" borderId="41" xfId="0" applyFont="1" applyFill="1" applyBorder="1" applyAlignment="1">
      <alignment horizontal="center" vertical="center"/>
    </xf>
    <xf numFmtId="0" fontId="21" fillId="2" borderId="4" xfId="0" applyFont="1" applyFill="1" applyBorder="1" applyAlignment="1">
      <alignment horizontal="center" vertical="center"/>
    </xf>
    <xf numFmtId="0" fontId="20" fillId="2" borderId="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164" fontId="18" fillId="0" borderId="3" xfId="0" applyNumberFormat="1" applyFont="1" applyFill="1" applyBorder="1" applyAlignment="1">
      <alignment horizontal="center" vertical="center"/>
    </xf>
    <xf numFmtId="164" fontId="26" fillId="0" borderId="24" xfId="0" applyNumberFormat="1" applyFont="1" applyBorder="1" applyAlignment="1">
      <alignment horizontal="center" vertical="center"/>
    </xf>
    <xf numFmtId="164" fontId="26" fillId="0" borderId="10" xfId="0" applyNumberFormat="1" applyFont="1" applyBorder="1" applyAlignment="1">
      <alignment horizontal="center" vertical="center"/>
    </xf>
    <xf numFmtId="0" fontId="28" fillId="2" borderId="16" xfId="0" applyFont="1" applyFill="1" applyBorder="1" applyAlignment="1">
      <alignment horizontal="center" vertical="center"/>
    </xf>
    <xf numFmtId="0" fontId="28" fillId="2" borderId="18" xfId="0" applyFont="1" applyFill="1" applyBorder="1" applyAlignment="1">
      <alignment horizontal="center" vertical="center"/>
    </xf>
    <xf numFmtId="164" fontId="26" fillId="0" borderId="23" xfId="0" applyNumberFormat="1" applyFont="1" applyBorder="1" applyAlignment="1">
      <alignment horizontal="center" vertical="center"/>
    </xf>
    <xf numFmtId="164" fontId="26" fillId="0" borderId="27" xfId="0" applyNumberFormat="1" applyFont="1" applyBorder="1" applyAlignment="1">
      <alignment horizontal="center" vertical="center"/>
    </xf>
    <xf numFmtId="164" fontId="26" fillId="0" borderId="14" xfId="0" applyNumberFormat="1" applyFont="1" applyBorder="1" applyAlignment="1">
      <alignment horizontal="center" vertical="center"/>
    </xf>
    <xf numFmtId="164" fontId="26" fillId="0" borderId="28" xfId="0" applyNumberFormat="1" applyFont="1" applyBorder="1" applyAlignment="1">
      <alignment horizontal="center" vertical="center"/>
    </xf>
    <xf numFmtId="164" fontId="26" fillId="0" borderId="12" xfId="0" applyNumberFormat="1" applyFont="1" applyBorder="1" applyAlignment="1">
      <alignment horizontal="center" vertical="center"/>
    </xf>
    <xf numFmtId="164" fontId="26" fillId="0" borderId="8" xfId="0" applyNumberFormat="1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24" xfId="0" applyFont="1" applyBorder="1" applyAlignment="1">
      <alignment horizontal="center" vertical="center"/>
    </xf>
    <xf numFmtId="164" fontId="26" fillId="0" borderId="25" xfId="0" applyNumberFormat="1" applyFont="1" applyBorder="1" applyAlignment="1">
      <alignment horizontal="center" vertical="center"/>
    </xf>
    <xf numFmtId="0" fontId="28" fillId="2" borderId="37" xfId="0" applyFont="1" applyFill="1" applyBorder="1" applyAlignment="1">
      <alignment horizontal="center" vertical="center"/>
    </xf>
    <xf numFmtId="0" fontId="28" fillId="2" borderId="38" xfId="0" applyFont="1" applyFill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28" fillId="2" borderId="36" xfId="0" applyFont="1" applyFill="1" applyBorder="1" applyAlignment="1">
      <alignment horizontal="center" vertical="center"/>
    </xf>
    <xf numFmtId="0" fontId="28" fillId="2" borderId="17" xfId="0" applyFont="1" applyFill="1" applyBorder="1" applyAlignment="1">
      <alignment horizontal="center" vertical="center"/>
    </xf>
    <xf numFmtId="0" fontId="29" fillId="2" borderId="35" xfId="0" applyFont="1" applyFill="1" applyBorder="1" applyAlignment="1">
      <alignment horizontal="center" vertical="center"/>
    </xf>
    <xf numFmtId="0" fontId="29" fillId="2" borderId="22" xfId="0" applyFont="1" applyFill="1" applyBorder="1" applyAlignment="1">
      <alignment horizontal="center" vertical="center"/>
    </xf>
    <xf numFmtId="0" fontId="28" fillId="2" borderId="34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3" xfId="0" applyFont="1" applyBorder="1" applyAlignment="1">
      <alignment horizontal="center" vertical="center"/>
    </xf>
    <xf numFmtId="0" fontId="34" fillId="0" borderId="0" xfId="0" applyFont="1" applyAlignment="1">
      <alignment horizontal="center" vertical="center"/>
    </xf>
    <xf numFmtId="9" fontId="2" fillId="0" borderId="28" xfId="2" applyFont="1" applyBorder="1" applyAlignment="1">
      <alignment horizontal="center" vertical="center"/>
    </xf>
    <xf numFmtId="43" fontId="2" fillId="0" borderId="0" xfId="1" applyFont="1" applyAlignment="1">
      <alignment horizontal="center" vertical="center" wrapText="1"/>
    </xf>
    <xf numFmtId="165" fontId="2" fillId="0" borderId="14" xfId="0" applyNumberFormat="1" applyFont="1" applyBorder="1" applyAlignment="1">
      <alignment horizontal="center" vertical="center"/>
    </xf>
    <xf numFmtId="165" fontId="2" fillId="0" borderId="28" xfId="0" applyNumberFormat="1" applyFont="1" applyBorder="1" applyAlignment="1">
      <alignment horizontal="center" vertical="center"/>
    </xf>
    <xf numFmtId="165" fontId="2" fillId="0" borderId="24" xfId="0" applyNumberFormat="1" applyFont="1" applyBorder="1" applyAlignment="1">
      <alignment horizontal="center" vertical="center"/>
    </xf>
    <xf numFmtId="165" fontId="2" fillId="0" borderId="12" xfId="0" applyNumberFormat="1" applyFont="1" applyBorder="1" applyAlignment="1">
      <alignment horizontal="center" vertical="center"/>
    </xf>
    <xf numFmtId="0" fontId="3" fillId="2" borderId="70" xfId="0" applyFont="1" applyFill="1" applyBorder="1" applyAlignment="1">
      <alignment horizontal="center" vertical="center"/>
    </xf>
    <xf numFmtId="165" fontId="2" fillId="0" borderId="23" xfId="0" applyNumberFormat="1" applyFont="1" applyBorder="1" applyAlignment="1">
      <alignment horizontal="center" vertical="center"/>
    </xf>
    <xf numFmtId="165" fontId="2" fillId="0" borderId="25" xfId="0" applyNumberFormat="1" applyFont="1" applyBorder="1" applyAlignment="1">
      <alignment horizontal="center" vertical="center"/>
    </xf>
    <xf numFmtId="165" fontId="2" fillId="0" borderId="27" xfId="0" applyNumberFormat="1" applyFont="1" applyBorder="1" applyAlignment="1">
      <alignment horizontal="center" vertical="center"/>
    </xf>
    <xf numFmtId="165" fontId="2" fillId="0" borderId="10" xfId="0" applyNumberFormat="1" applyFont="1" applyBorder="1" applyAlignment="1">
      <alignment horizontal="center" vertical="center"/>
    </xf>
    <xf numFmtId="165" fontId="2" fillId="0" borderId="8" xfId="0" applyNumberFormat="1" applyFont="1" applyBorder="1" applyAlignment="1">
      <alignment horizontal="center" vertical="center"/>
    </xf>
    <xf numFmtId="0" fontId="7" fillId="2" borderId="71" xfId="0" applyFont="1" applyFill="1" applyBorder="1" applyAlignment="1">
      <alignment horizontal="center" vertical="center"/>
    </xf>
    <xf numFmtId="0" fontId="5" fillId="0" borderId="73" xfId="0" applyFont="1" applyBorder="1" applyAlignment="1">
      <alignment horizontal="center"/>
    </xf>
    <xf numFmtId="0" fontId="5" fillId="0" borderId="61" xfId="0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0" borderId="48" xfId="0" applyFont="1" applyBorder="1" applyAlignment="1">
      <alignment horizontal="center"/>
    </xf>
    <xf numFmtId="0" fontId="5" fillId="0" borderId="62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3" fillId="2" borderId="37" xfId="0" applyFont="1" applyFill="1" applyBorder="1" applyAlignment="1">
      <alignment horizontal="center"/>
    </xf>
    <xf numFmtId="0" fontId="3" fillId="2" borderId="54" xfId="0" applyFont="1" applyFill="1" applyBorder="1" applyAlignment="1">
      <alignment horizontal="center"/>
    </xf>
    <xf numFmtId="0" fontId="3" fillId="2" borderId="38" xfId="0" applyFont="1" applyFill="1" applyBorder="1" applyAlignment="1">
      <alignment horizontal="center"/>
    </xf>
    <xf numFmtId="164" fontId="9" fillId="0" borderId="47" xfId="0" applyNumberFormat="1" applyFont="1" applyBorder="1" applyAlignment="1">
      <alignment horizontal="center" vertical="center"/>
    </xf>
    <xf numFmtId="164" fontId="9" fillId="0" borderId="62" xfId="0" applyNumberFormat="1" applyFont="1" applyBorder="1" applyAlignment="1">
      <alignment horizontal="center" vertical="center"/>
    </xf>
    <xf numFmtId="164" fontId="9" fillId="0" borderId="12" xfId="0" applyNumberFormat="1" applyFont="1" applyBorder="1" applyAlignment="1">
      <alignment horizontal="center" vertical="center"/>
    </xf>
    <xf numFmtId="164" fontId="9" fillId="0" borderId="48" xfId="0" applyNumberFormat="1" applyFont="1" applyBorder="1" applyAlignment="1">
      <alignment horizontal="center" vertical="center"/>
    </xf>
    <xf numFmtId="0" fontId="13" fillId="0" borderId="43" xfId="0" applyFont="1" applyBorder="1" applyAlignment="1">
      <alignment horizontal="center" vertical="center"/>
    </xf>
    <xf numFmtId="164" fontId="9" fillId="0" borderId="73" xfId="0" applyNumberFormat="1" applyFont="1" applyBorder="1" applyAlignment="1">
      <alignment horizontal="center" vertical="center"/>
    </xf>
    <xf numFmtId="0" fontId="11" fillId="2" borderId="36" xfId="0" applyFont="1" applyFill="1" applyBorder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13" fillId="0" borderId="41" xfId="0" applyFont="1" applyBorder="1" applyAlignment="1">
      <alignment horizontal="center" vertical="center"/>
    </xf>
    <xf numFmtId="164" fontId="9" fillId="0" borderId="61" xfId="0" applyNumberFormat="1" applyFont="1" applyBorder="1" applyAlignment="1">
      <alignment horizontal="center" vertical="center"/>
    </xf>
    <xf numFmtId="0" fontId="13" fillId="0" borderId="42" xfId="0" applyFont="1" applyBorder="1" applyAlignment="1">
      <alignment horizontal="center" vertical="center"/>
    </xf>
    <xf numFmtId="9" fontId="9" fillId="0" borderId="58" xfId="2" applyFont="1" applyBorder="1" applyAlignment="1">
      <alignment horizontal="center" vertical="center"/>
    </xf>
    <xf numFmtId="164" fontId="9" fillId="0" borderId="58" xfId="0" applyNumberFormat="1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14" fillId="2" borderId="16" xfId="0" applyFont="1" applyFill="1" applyBorder="1" applyAlignment="1">
      <alignment horizontal="center"/>
    </xf>
    <xf numFmtId="0" fontId="14" fillId="2" borderId="36" xfId="0" applyFont="1" applyFill="1" applyBorder="1" applyAlignment="1">
      <alignment horizontal="center"/>
    </xf>
    <xf numFmtId="0" fontId="14" fillId="2" borderId="17" xfId="0" applyFont="1" applyFill="1" applyBorder="1" applyAlignment="1">
      <alignment horizontal="center"/>
    </xf>
    <xf numFmtId="0" fontId="14" fillId="2" borderId="18" xfId="0" applyFont="1" applyFill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24" xfId="0" applyFont="1" applyBorder="1" applyAlignment="1">
      <alignment horizontal="center"/>
    </xf>
    <xf numFmtId="164" fontId="0" fillId="0" borderId="24" xfId="0" applyNumberFormat="1" applyFont="1" applyBorder="1" applyAlignment="1">
      <alignment horizontal="center"/>
    </xf>
    <xf numFmtId="164" fontId="0" fillId="0" borderId="10" xfId="0" applyNumberFormat="1" applyFont="1" applyBorder="1" applyAlignment="1">
      <alignment horizontal="center"/>
    </xf>
    <xf numFmtId="164" fontId="0" fillId="0" borderId="12" xfId="0" applyNumberFormat="1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 vertical="center"/>
    </xf>
    <xf numFmtId="164" fontId="0" fillId="0" borderId="43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164" fontId="0" fillId="0" borderId="42" xfId="0" applyNumberFormat="1" applyFont="1" applyBorder="1" applyAlignment="1">
      <alignment horizontal="center" vertical="center"/>
    </xf>
    <xf numFmtId="9" fontId="0" fillId="0" borderId="1" xfId="2" applyFont="1" applyBorder="1" applyAlignment="1">
      <alignment horizontal="center" vertical="center"/>
    </xf>
    <xf numFmtId="9" fontId="0" fillId="0" borderId="42" xfId="2" applyFont="1" applyBorder="1" applyAlignment="1">
      <alignment horizontal="center" vertical="center"/>
    </xf>
    <xf numFmtId="164" fontId="0" fillId="0" borderId="3" xfId="0" applyNumberFormat="1" applyFont="1" applyBorder="1" applyAlignment="1">
      <alignment horizontal="center" vertical="center"/>
    </xf>
    <xf numFmtId="164" fontId="0" fillId="0" borderId="41" xfId="0" applyNumberFormat="1" applyFont="1" applyBorder="1" applyAlignment="1">
      <alignment horizontal="center" vertical="center"/>
    </xf>
    <xf numFmtId="0" fontId="16" fillId="2" borderId="50" xfId="0" applyFont="1" applyFill="1" applyBorder="1" applyAlignment="1">
      <alignment horizontal="center" vertical="center"/>
    </xf>
    <xf numFmtId="0" fontId="16" fillId="2" borderId="51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/>
    </xf>
    <xf numFmtId="0" fontId="14" fillId="2" borderId="49" xfId="0" applyFont="1" applyFill="1" applyBorder="1" applyAlignment="1">
      <alignment horizontal="center" vertical="center"/>
    </xf>
    <xf numFmtId="0" fontId="24" fillId="2" borderId="2" xfId="0" applyFont="1" applyFill="1" applyBorder="1" applyAlignment="1">
      <alignment horizontal="center" vertical="center"/>
    </xf>
    <xf numFmtId="0" fontId="24" fillId="2" borderId="7" xfId="0" applyFont="1" applyFill="1" applyBorder="1" applyAlignment="1">
      <alignment horizontal="center" vertical="center"/>
    </xf>
    <xf numFmtId="0" fontId="13" fillId="0" borderId="43" xfId="0" applyFont="1" applyBorder="1" applyAlignment="1">
      <alignment horizontal="center"/>
    </xf>
    <xf numFmtId="0" fontId="13" fillId="0" borderId="42" xfId="0" applyFont="1" applyBorder="1" applyAlignment="1">
      <alignment horizontal="center"/>
    </xf>
    <xf numFmtId="164" fontId="0" fillId="0" borderId="5" xfId="0" applyNumberFormat="1" applyFont="1" applyBorder="1" applyAlignment="1">
      <alignment horizontal="center"/>
    </xf>
    <xf numFmtId="164" fontId="0" fillId="0" borderId="43" xfId="0" applyNumberFormat="1" applyFont="1" applyBorder="1" applyAlignment="1">
      <alignment horizontal="center"/>
    </xf>
    <xf numFmtId="0" fontId="16" fillId="2" borderId="67" xfId="0" applyFont="1" applyFill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6" fillId="0" borderId="67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164" fontId="0" fillId="0" borderId="6" xfId="0" applyNumberFormat="1" applyFont="1" applyBorder="1" applyAlignment="1">
      <alignment horizontal="center" vertical="center"/>
    </xf>
    <xf numFmtId="164" fontId="0" fillId="0" borderId="49" xfId="0" applyNumberFormat="1" applyFont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/>
    </xf>
    <xf numFmtId="164" fontId="9" fillId="0" borderId="43" xfId="0" applyNumberFormat="1" applyFont="1" applyBorder="1" applyAlignment="1">
      <alignment horizontal="center"/>
    </xf>
    <xf numFmtId="0" fontId="11" fillId="2" borderId="3" xfId="0" applyFont="1" applyFill="1" applyBorder="1" applyAlignment="1">
      <alignment horizontal="center" vertical="center"/>
    </xf>
    <xf numFmtId="164" fontId="9" fillId="0" borderId="3" xfId="0" applyNumberFormat="1" applyFont="1" applyBorder="1" applyAlignment="1">
      <alignment horizontal="center" vertical="center"/>
    </xf>
    <xf numFmtId="164" fontId="9" fillId="0" borderId="1" xfId="0" applyNumberFormat="1" applyFont="1" applyBorder="1" applyAlignment="1">
      <alignment horizontal="center" vertical="center"/>
    </xf>
    <xf numFmtId="164" fontId="9" fillId="0" borderId="42" xfId="0" applyNumberFormat="1" applyFont="1" applyBorder="1" applyAlignment="1">
      <alignment horizontal="center" vertical="center"/>
    </xf>
    <xf numFmtId="0" fontId="11" fillId="2" borderId="41" xfId="0" applyFont="1" applyFill="1" applyBorder="1" applyAlignment="1">
      <alignment horizontal="center" vertical="center"/>
    </xf>
    <xf numFmtId="164" fontId="9" fillId="0" borderId="41" xfId="0" applyNumberFormat="1" applyFont="1" applyBorder="1" applyAlignment="1">
      <alignment horizontal="center" vertical="center"/>
    </xf>
    <xf numFmtId="164" fontId="36" fillId="0" borderId="23" xfId="0" applyNumberFormat="1" applyFont="1" applyBorder="1" applyAlignment="1">
      <alignment horizontal="center" vertical="center"/>
    </xf>
    <xf numFmtId="164" fontId="36" fillId="0" borderId="27" xfId="0" applyNumberFormat="1" applyFont="1" applyBorder="1" applyAlignment="1">
      <alignment horizontal="center" vertical="center"/>
    </xf>
    <xf numFmtId="0" fontId="38" fillId="2" borderId="16" xfId="0" applyFont="1" applyFill="1" applyBorder="1" applyAlignment="1">
      <alignment horizontal="center"/>
    </xf>
    <xf numFmtId="0" fontId="38" fillId="2" borderId="36" xfId="0" applyFont="1" applyFill="1" applyBorder="1" applyAlignment="1">
      <alignment horizontal="center"/>
    </xf>
    <xf numFmtId="0" fontId="38" fillId="2" borderId="17" xfId="0" applyFont="1" applyFill="1" applyBorder="1" applyAlignment="1">
      <alignment horizontal="center"/>
    </xf>
    <xf numFmtId="0" fontId="38" fillId="2" borderId="18" xfId="0" applyFont="1" applyFill="1" applyBorder="1" applyAlignment="1">
      <alignment horizontal="center"/>
    </xf>
    <xf numFmtId="0" fontId="39" fillId="2" borderId="35" xfId="0" applyFont="1" applyFill="1" applyBorder="1" applyAlignment="1">
      <alignment horizontal="center" vertical="center"/>
    </xf>
    <xf numFmtId="0" fontId="39" fillId="2" borderId="22" xfId="0" applyFont="1" applyFill="1" applyBorder="1" applyAlignment="1">
      <alignment horizontal="center" vertical="center"/>
    </xf>
    <xf numFmtId="0" fontId="38" fillId="2" borderId="34" xfId="0" applyFont="1" applyFill="1" applyBorder="1" applyAlignment="1">
      <alignment horizontal="center" vertical="center"/>
    </xf>
    <xf numFmtId="0" fontId="38" fillId="2" borderId="18" xfId="0" applyFont="1" applyFill="1" applyBorder="1" applyAlignment="1">
      <alignment horizontal="center" vertical="center"/>
    </xf>
    <xf numFmtId="0" fontId="38" fillId="2" borderId="16" xfId="0" applyFont="1" applyFill="1" applyBorder="1" applyAlignment="1">
      <alignment horizontal="center" vertical="center"/>
    </xf>
    <xf numFmtId="0" fontId="41" fillId="0" borderId="2" xfId="0" applyFont="1" applyBorder="1" applyAlignment="1">
      <alignment horizontal="center" vertical="center"/>
    </xf>
    <xf numFmtId="0" fontId="41" fillId="0" borderId="3" xfId="0" applyFont="1" applyBorder="1" applyAlignment="1">
      <alignment horizontal="center" vertical="center"/>
    </xf>
    <xf numFmtId="0" fontId="41" fillId="0" borderId="23" xfId="0" applyFont="1" applyBorder="1" applyAlignment="1">
      <alignment horizontal="center" vertical="center"/>
    </xf>
    <xf numFmtId="164" fontId="36" fillId="0" borderId="25" xfId="0" applyNumberFormat="1" applyFont="1" applyBorder="1" applyAlignment="1">
      <alignment horizontal="center" vertical="center"/>
    </xf>
    <xf numFmtId="0" fontId="41" fillId="0" borderId="4" xfId="0" applyFont="1" applyBorder="1" applyAlignment="1">
      <alignment horizontal="center" vertical="center"/>
    </xf>
    <xf numFmtId="0" fontId="41" fillId="0" borderId="1" xfId="0" applyFont="1" applyBorder="1" applyAlignment="1">
      <alignment horizontal="center" vertical="center"/>
    </xf>
    <xf numFmtId="0" fontId="41" fillId="0" borderId="14" xfId="0" applyFont="1" applyBorder="1" applyAlignment="1">
      <alignment horizontal="center" vertical="center"/>
    </xf>
    <xf numFmtId="164" fontId="36" fillId="0" borderId="14" xfId="0" applyNumberFormat="1" applyFont="1" applyBorder="1" applyAlignment="1">
      <alignment horizontal="center" vertical="center"/>
    </xf>
    <xf numFmtId="164" fontId="36" fillId="0" borderId="8" xfId="0" applyNumberFormat="1" applyFont="1" applyBorder="1" applyAlignment="1">
      <alignment horizontal="center" vertical="center"/>
    </xf>
    <xf numFmtId="164" fontId="36" fillId="0" borderId="28" xfId="0" applyNumberFormat="1" applyFont="1" applyBorder="1" applyAlignment="1">
      <alignment horizontal="center" vertical="center"/>
    </xf>
    <xf numFmtId="0" fontId="41" fillId="0" borderId="4" xfId="0" applyFont="1" applyBorder="1" applyAlignment="1">
      <alignment horizontal="center"/>
    </xf>
    <xf numFmtId="0" fontId="41" fillId="0" borderId="1" xfId="0" applyFont="1" applyBorder="1" applyAlignment="1">
      <alignment horizontal="center"/>
    </xf>
    <xf numFmtId="0" fontId="41" fillId="0" borderId="14" xfId="0" applyFont="1" applyBorder="1" applyAlignment="1">
      <alignment horizontal="center"/>
    </xf>
    <xf numFmtId="164" fontId="36" fillId="0" borderId="24" xfId="0" applyNumberFormat="1" applyFont="1" applyBorder="1" applyAlignment="1">
      <alignment horizontal="center"/>
    </xf>
    <xf numFmtId="164" fontId="36" fillId="0" borderId="12" xfId="0" applyNumberFormat="1" applyFont="1" applyBorder="1" applyAlignment="1">
      <alignment horizontal="center"/>
    </xf>
    <xf numFmtId="0" fontId="41" fillId="0" borderId="7" xfId="0" applyFont="1" applyBorder="1" applyAlignment="1">
      <alignment horizontal="center"/>
    </xf>
    <xf numFmtId="0" fontId="41" fillId="0" borderId="5" xfId="0" applyFont="1" applyBorder="1" applyAlignment="1">
      <alignment horizontal="center"/>
    </xf>
    <xf numFmtId="0" fontId="41" fillId="0" borderId="24" xfId="0" applyFont="1" applyBorder="1" applyAlignment="1">
      <alignment horizontal="center"/>
    </xf>
    <xf numFmtId="164" fontId="36" fillId="0" borderId="10" xfId="0" applyNumberFormat="1" applyFont="1" applyBorder="1" applyAlignment="1">
      <alignment horizontal="center"/>
    </xf>
    <xf numFmtId="0" fontId="24" fillId="2" borderId="67" xfId="0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horizontal="center" vertical="center"/>
    </xf>
    <xf numFmtId="0" fontId="11" fillId="2" borderId="49" xfId="0" applyFont="1" applyFill="1" applyBorder="1" applyAlignment="1">
      <alignment horizontal="center" vertical="center"/>
    </xf>
    <xf numFmtId="164" fontId="9" fillId="0" borderId="5" xfId="0" applyNumberFormat="1" applyFont="1" applyBorder="1" applyAlignment="1">
      <alignment horizontal="center" vertical="center"/>
    </xf>
    <xf numFmtId="164" fontId="9" fillId="0" borderId="43" xfId="0" applyNumberFormat="1" applyFont="1" applyBorder="1" applyAlignment="1">
      <alignment horizontal="center" vertical="center"/>
    </xf>
    <xf numFmtId="0" fontId="47" fillId="0" borderId="7" xfId="0" applyFont="1" applyBorder="1" applyAlignment="1">
      <alignment horizontal="center"/>
    </xf>
    <xf numFmtId="0" fontId="47" fillId="0" borderId="5" xfId="0" applyFont="1" applyBorder="1" applyAlignment="1">
      <alignment horizontal="center"/>
    </xf>
    <xf numFmtId="0" fontId="47" fillId="0" borderId="4" xfId="0" applyFont="1" applyBorder="1" applyAlignment="1">
      <alignment horizontal="center"/>
    </xf>
    <xf numFmtId="0" fontId="47" fillId="0" borderId="1" xfId="0" applyFont="1" applyBorder="1" applyAlignment="1">
      <alignment horizontal="center"/>
    </xf>
    <xf numFmtId="0" fontId="44" fillId="2" borderId="2" xfId="0" applyFont="1" applyFill="1" applyBorder="1" applyAlignment="1">
      <alignment horizontal="center"/>
    </xf>
    <xf numFmtId="0" fontId="44" fillId="2" borderId="3" xfId="0" applyFont="1" applyFill="1" applyBorder="1" applyAlignment="1">
      <alignment horizontal="center"/>
    </xf>
    <xf numFmtId="0" fontId="44" fillId="2" borderId="41" xfId="0" applyFont="1" applyFill="1" applyBorder="1" applyAlignment="1">
      <alignment horizontal="center"/>
    </xf>
    <xf numFmtId="0" fontId="45" fillId="2" borderId="4" xfId="0" applyFont="1" applyFill="1" applyBorder="1" applyAlignment="1">
      <alignment horizontal="center" vertical="center"/>
    </xf>
    <xf numFmtId="164" fontId="18" fillId="0" borderId="5" xfId="0" applyNumberFormat="1" applyFont="1" applyBorder="1" applyAlignment="1">
      <alignment horizontal="center"/>
    </xf>
    <xf numFmtId="164" fontId="18" fillId="0" borderId="43" xfId="0" applyNumberFormat="1" applyFont="1" applyBorder="1" applyAlignment="1">
      <alignment horizontal="center"/>
    </xf>
    <xf numFmtId="0" fontId="21" fillId="2" borderId="2" xfId="0" applyFont="1" applyFill="1" applyBorder="1" applyAlignment="1">
      <alignment horizontal="center" vertical="center"/>
    </xf>
    <xf numFmtId="0" fontId="21" fillId="2" borderId="7" xfId="0" applyFont="1" applyFill="1" applyBorder="1" applyAlignment="1">
      <alignment horizontal="center" vertical="center"/>
    </xf>
    <xf numFmtId="0" fontId="13" fillId="0" borderId="47" xfId="0" applyFont="1" applyBorder="1" applyAlignment="1">
      <alignment horizontal="center" vertical="center"/>
    </xf>
    <xf numFmtId="0" fontId="13" fillId="0" borderId="5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24" xfId="0" applyFont="1" applyBorder="1" applyAlignment="1">
      <alignment horizontal="center" vertical="center"/>
    </xf>
    <xf numFmtId="164" fontId="9" fillId="0" borderId="24" xfId="0" applyNumberFormat="1" applyFont="1" applyFill="1" applyBorder="1" applyAlignment="1">
      <alignment horizontal="center" vertical="center"/>
    </xf>
    <xf numFmtId="164" fontId="9" fillId="0" borderId="10" xfId="0" applyNumberFormat="1" applyFont="1" applyFill="1" applyBorder="1" applyAlignment="1">
      <alignment horizontal="center" vertical="center"/>
    </xf>
    <xf numFmtId="164" fontId="9" fillId="0" borderId="24" xfId="0" applyNumberFormat="1" applyFont="1" applyBorder="1" applyAlignment="1">
      <alignment horizontal="center" vertical="center"/>
    </xf>
    <xf numFmtId="164" fontId="9" fillId="0" borderId="10" xfId="0" applyNumberFormat="1" applyFont="1" applyBorder="1" applyAlignment="1">
      <alignment horizontal="center" vertical="center"/>
    </xf>
    <xf numFmtId="9" fontId="9" fillId="0" borderId="8" xfId="2" applyFont="1" applyBorder="1" applyAlignment="1">
      <alignment horizontal="center" vertical="center"/>
    </xf>
    <xf numFmtId="0" fontId="20" fillId="2" borderId="66" xfId="0" applyFont="1" applyFill="1" applyBorder="1" applyAlignment="1">
      <alignment horizontal="center"/>
    </xf>
    <xf numFmtId="0" fontId="20" fillId="2" borderId="37" xfId="0" applyFont="1" applyFill="1" applyBorder="1" applyAlignment="1">
      <alignment horizontal="center" vertical="center"/>
    </xf>
    <xf numFmtId="0" fontId="20" fillId="2" borderId="54" xfId="0" applyFont="1" applyFill="1" applyBorder="1" applyAlignment="1">
      <alignment horizontal="center" vertical="center"/>
    </xf>
    <xf numFmtId="0" fontId="20" fillId="2" borderId="38" xfId="0" applyFont="1" applyFill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/>
    </xf>
    <xf numFmtId="166" fontId="2" fillId="0" borderId="10" xfId="0" applyNumberFormat="1" applyFont="1" applyBorder="1" applyAlignment="1">
      <alignment horizontal="center"/>
    </xf>
    <xf numFmtId="166" fontId="2" fillId="0" borderId="12" xfId="0" applyNumberFormat="1" applyFont="1" applyBorder="1" applyAlignment="1">
      <alignment horizontal="center"/>
    </xf>
    <xf numFmtId="166" fontId="2" fillId="0" borderId="14" xfId="2" applyNumberFormat="1" applyFont="1" applyBorder="1" applyAlignment="1">
      <alignment horizontal="center" vertical="center"/>
    </xf>
    <xf numFmtId="166" fontId="2" fillId="0" borderId="8" xfId="2" applyNumberFormat="1" applyFont="1" applyBorder="1" applyAlignment="1">
      <alignment horizontal="center" vertical="center"/>
    </xf>
    <xf numFmtId="166" fontId="2" fillId="0" borderId="14" xfId="0" applyNumberFormat="1" applyFont="1" applyBorder="1" applyAlignment="1">
      <alignment horizontal="center" vertical="center"/>
    </xf>
    <xf numFmtId="166" fontId="2" fillId="0" borderId="8" xfId="0" applyNumberFormat="1" applyFont="1" applyBorder="1" applyAlignment="1">
      <alignment horizontal="center" vertical="center"/>
    </xf>
    <xf numFmtId="166" fontId="2" fillId="0" borderId="28" xfId="0" applyNumberFormat="1" applyFont="1" applyBorder="1" applyAlignment="1">
      <alignment horizontal="center" vertical="center"/>
    </xf>
    <xf numFmtId="166" fontId="2" fillId="0" borderId="23" xfId="0" applyNumberFormat="1" applyFont="1" applyBorder="1" applyAlignment="1">
      <alignment horizontal="center" vertical="center"/>
    </xf>
    <xf numFmtId="166" fontId="2" fillId="0" borderId="25" xfId="0" applyNumberFormat="1" applyFont="1" applyBorder="1" applyAlignment="1">
      <alignment horizontal="center" vertical="center"/>
    </xf>
    <xf numFmtId="166" fontId="2" fillId="0" borderId="27" xfId="0" applyNumberFormat="1" applyFont="1" applyBorder="1" applyAlignment="1">
      <alignment horizontal="center" vertical="center"/>
    </xf>
    <xf numFmtId="0" fontId="44" fillId="2" borderId="37" xfId="0" applyFont="1" applyFill="1" applyBorder="1" applyAlignment="1">
      <alignment horizontal="center" vertical="center"/>
    </xf>
    <xf numFmtId="0" fontId="44" fillId="2" borderId="54" xfId="0" applyFont="1" applyFill="1" applyBorder="1" applyAlignment="1">
      <alignment horizontal="center" vertical="center"/>
    </xf>
    <xf numFmtId="0" fontId="44" fillId="2" borderId="38" xfId="0" applyFont="1" applyFill="1" applyBorder="1" applyAlignment="1">
      <alignment horizontal="center" vertical="center"/>
    </xf>
    <xf numFmtId="0" fontId="45" fillId="2" borderId="71" xfId="0" applyFont="1" applyFill="1" applyBorder="1" applyAlignment="1">
      <alignment horizontal="center" vertical="center"/>
    </xf>
    <xf numFmtId="0" fontId="45" fillId="2" borderId="22" xfId="0" applyFont="1" applyFill="1" applyBorder="1" applyAlignment="1">
      <alignment horizontal="center" vertical="center"/>
    </xf>
    <xf numFmtId="0" fontId="47" fillId="0" borderId="73" xfId="0" applyFont="1" applyBorder="1" applyAlignment="1">
      <alignment horizontal="center" vertical="center"/>
    </xf>
    <xf numFmtId="0" fontId="47" fillId="0" borderId="61" xfId="0" applyFont="1" applyBorder="1" applyAlignment="1">
      <alignment horizontal="center" vertical="center"/>
    </xf>
    <xf numFmtId="0" fontId="47" fillId="0" borderId="25" xfId="0" applyFont="1" applyBorder="1" applyAlignment="1">
      <alignment horizontal="center" vertical="center"/>
    </xf>
    <xf numFmtId="0" fontId="47" fillId="0" borderId="48" xfId="0" applyFont="1" applyBorder="1" applyAlignment="1">
      <alignment horizontal="center" vertical="center"/>
    </xf>
    <xf numFmtId="0" fontId="47" fillId="0" borderId="62" xfId="0" applyFont="1" applyBorder="1" applyAlignment="1">
      <alignment horizontal="center" vertical="center"/>
    </xf>
    <xf numFmtId="0" fontId="47" fillId="0" borderId="10" xfId="0" applyFont="1" applyBorder="1" applyAlignment="1">
      <alignment horizontal="center" vertical="center"/>
    </xf>
    <xf numFmtId="0" fontId="9" fillId="0" borderId="64" xfId="0" applyFont="1" applyBorder="1" applyAlignment="1">
      <alignment horizontal="center" vertical="center" wrapText="1"/>
    </xf>
    <xf numFmtId="164" fontId="19" fillId="0" borderId="14" xfId="0" applyNumberFormat="1" applyFont="1" applyFill="1" applyBorder="1" applyAlignment="1">
      <alignment horizontal="center" vertical="center"/>
    </xf>
    <xf numFmtId="164" fontId="19" fillId="0" borderId="8" xfId="0" applyNumberFormat="1" applyFont="1" applyFill="1" applyBorder="1" applyAlignment="1">
      <alignment horizontal="center" vertical="center"/>
    </xf>
    <xf numFmtId="164" fontId="19" fillId="3" borderId="14" xfId="0" applyNumberFormat="1" applyFont="1" applyFill="1" applyBorder="1" applyAlignment="1">
      <alignment horizontal="center" vertical="center"/>
    </xf>
    <xf numFmtId="164" fontId="19" fillId="3" borderId="28" xfId="0" applyNumberFormat="1" applyFont="1" applyFill="1" applyBorder="1" applyAlignment="1">
      <alignment horizontal="center" vertical="center"/>
    </xf>
    <xf numFmtId="164" fontId="19" fillId="0" borderId="55" xfId="0" applyNumberFormat="1" applyFont="1" applyFill="1" applyBorder="1" applyAlignment="1">
      <alignment horizontal="center" vertical="center"/>
    </xf>
    <xf numFmtId="164" fontId="19" fillId="0" borderId="85" xfId="0" applyNumberFormat="1" applyFont="1" applyFill="1" applyBorder="1" applyAlignment="1">
      <alignment horizontal="center" vertical="center"/>
    </xf>
    <xf numFmtId="164" fontId="19" fillId="3" borderId="55" xfId="0" applyNumberFormat="1" applyFont="1" applyFill="1" applyBorder="1" applyAlignment="1">
      <alignment horizontal="center" vertical="center"/>
    </xf>
    <xf numFmtId="164" fontId="19" fillId="3" borderId="86" xfId="0" applyNumberFormat="1" applyFont="1" applyFill="1" applyBorder="1" applyAlignment="1">
      <alignment horizontal="center" vertical="center"/>
    </xf>
    <xf numFmtId="164" fontId="19" fillId="0" borderId="82" xfId="0" applyNumberFormat="1" applyFont="1" applyFill="1" applyBorder="1" applyAlignment="1">
      <alignment horizontal="center" vertical="center"/>
    </xf>
    <xf numFmtId="164" fontId="19" fillId="0" borderId="9" xfId="0" applyNumberFormat="1" applyFont="1" applyFill="1" applyBorder="1" applyAlignment="1">
      <alignment horizontal="center" vertical="center"/>
    </xf>
    <xf numFmtId="164" fontId="18" fillId="0" borderId="24" xfId="0" applyNumberFormat="1" applyFont="1" applyFill="1" applyBorder="1" applyAlignment="1">
      <alignment horizontal="center" vertical="center"/>
    </xf>
    <xf numFmtId="164" fontId="18" fillId="0" borderId="10" xfId="0" applyNumberFormat="1" applyFont="1" applyFill="1" applyBorder="1" applyAlignment="1">
      <alignment horizontal="center" vertical="center"/>
    </xf>
    <xf numFmtId="164" fontId="19" fillId="0" borderId="23" xfId="0" applyNumberFormat="1" applyFont="1" applyFill="1" applyBorder="1" applyAlignment="1">
      <alignment horizontal="center" vertical="center"/>
    </xf>
    <xf numFmtId="164" fontId="19" fillId="0" borderId="25" xfId="0" applyNumberFormat="1" applyFont="1" applyFill="1" applyBorder="1" applyAlignment="1">
      <alignment horizontal="center" vertical="center"/>
    </xf>
    <xf numFmtId="164" fontId="19" fillId="3" borderId="23" xfId="0" applyNumberFormat="1" applyFont="1" applyFill="1" applyBorder="1" applyAlignment="1">
      <alignment horizontal="center" vertical="center"/>
    </xf>
    <xf numFmtId="164" fontId="19" fillId="3" borderId="25" xfId="0" applyNumberFormat="1" applyFont="1" applyFill="1" applyBorder="1" applyAlignment="1">
      <alignment horizontal="center" vertical="center"/>
    </xf>
    <xf numFmtId="164" fontId="19" fillId="3" borderId="8" xfId="0" applyNumberFormat="1" applyFont="1" applyFill="1" applyBorder="1" applyAlignment="1">
      <alignment horizontal="center" vertical="center"/>
    </xf>
    <xf numFmtId="164" fontId="19" fillId="0" borderId="27" xfId="0" applyNumberFormat="1" applyFont="1" applyFill="1" applyBorder="1" applyAlignment="1">
      <alignment horizontal="center" vertical="center"/>
    </xf>
    <xf numFmtId="164" fontId="19" fillId="0" borderId="28" xfId="0" applyNumberFormat="1" applyFont="1" applyFill="1" applyBorder="1" applyAlignment="1">
      <alignment horizontal="center" vertical="center"/>
    </xf>
    <xf numFmtId="0" fontId="21" fillId="2" borderId="91" xfId="0" applyFont="1" applyFill="1" applyBorder="1" applyAlignment="1">
      <alignment horizontal="center" vertical="center"/>
    </xf>
    <xf numFmtId="0" fontId="11" fillId="2" borderId="37" xfId="0" applyFont="1" applyFill="1" applyBorder="1" applyAlignment="1">
      <alignment horizontal="center" vertical="center"/>
    </xf>
    <xf numFmtId="0" fontId="11" fillId="2" borderId="38" xfId="0" applyFont="1" applyFill="1" applyBorder="1" applyAlignment="1">
      <alignment horizontal="center" vertical="center"/>
    </xf>
    <xf numFmtId="164" fontId="51" fillId="0" borderId="5" xfId="0" applyNumberFormat="1" applyFont="1" applyBorder="1" applyAlignment="1">
      <alignment horizontal="center" vertical="center"/>
    </xf>
    <xf numFmtId="164" fontId="51" fillId="0" borderId="43" xfId="0" applyNumberFormat="1" applyFont="1" applyBorder="1" applyAlignment="1">
      <alignment horizontal="center" vertical="center"/>
    </xf>
    <xf numFmtId="0" fontId="54" fillId="0" borderId="2" xfId="0" applyFont="1" applyBorder="1" applyAlignment="1">
      <alignment horizontal="center" vertical="center"/>
    </xf>
    <xf numFmtId="0" fontId="54" fillId="0" borderId="3" xfId="0" applyFont="1" applyBorder="1" applyAlignment="1">
      <alignment horizontal="center" vertical="center"/>
    </xf>
    <xf numFmtId="164" fontId="51" fillId="0" borderId="3" xfId="0" applyNumberFormat="1" applyFont="1" applyBorder="1" applyAlignment="1">
      <alignment horizontal="center" vertical="center"/>
    </xf>
    <xf numFmtId="164" fontId="51" fillId="0" borderId="3" xfId="0" applyNumberFormat="1" applyFont="1" applyFill="1" applyBorder="1" applyAlignment="1">
      <alignment horizontal="center" vertical="center"/>
    </xf>
    <xf numFmtId="0" fontId="54" fillId="0" borderId="7" xfId="0" applyFont="1" applyBorder="1" applyAlignment="1">
      <alignment horizontal="center" vertical="center"/>
    </xf>
    <xf numFmtId="0" fontId="54" fillId="0" borderId="5" xfId="0" applyFont="1" applyBorder="1" applyAlignment="1">
      <alignment horizontal="center" vertical="center"/>
    </xf>
    <xf numFmtId="164" fontId="51" fillId="0" borderId="41" xfId="0" applyNumberFormat="1" applyFont="1" applyBorder="1" applyAlignment="1">
      <alignment horizontal="center" vertical="center"/>
    </xf>
    <xf numFmtId="0" fontId="54" fillId="0" borderId="4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 vertical="center"/>
    </xf>
    <xf numFmtId="164" fontId="51" fillId="0" borderId="1" xfId="0" applyNumberFormat="1" applyFont="1" applyBorder="1" applyAlignment="1">
      <alignment horizontal="center" vertical="center"/>
    </xf>
    <xf numFmtId="164" fontId="51" fillId="0" borderId="42" xfId="0" applyNumberFormat="1" applyFont="1" applyBorder="1" applyAlignment="1">
      <alignment horizontal="center" vertical="center"/>
    </xf>
    <xf numFmtId="0" fontId="49" fillId="2" borderId="2" xfId="0" applyFont="1" applyFill="1" applyBorder="1" applyAlignment="1">
      <alignment horizontal="center" vertical="center"/>
    </xf>
    <xf numFmtId="0" fontId="49" fillId="2" borderId="3" xfId="0" applyFont="1" applyFill="1" applyBorder="1" applyAlignment="1">
      <alignment horizontal="center" vertical="center"/>
    </xf>
    <xf numFmtId="0" fontId="49" fillId="2" borderId="41" xfId="0" applyFont="1" applyFill="1" applyBorder="1" applyAlignment="1">
      <alignment horizontal="center" vertical="center"/>
    </xf>
    <xf numFmtId="0" fontId="52" fillId="2" borderId="4" xfId="0" applyFont="1" applyFill="1" applyBorder="1" applyAlignment="1">
      <alignment horizontal="center" vertical="center"/>
    </xf>
    <xf numFmtId="0" fontId="49" fillId="2" borderId="1" xfId="0" applyFont="1" applyFill="1" applyBorder="1" applyAlignment="1">
      <alignment horizontal="center" vertical="center"/>
    </xf>
    <xf numFmtId="0" fontId="49" fillId="2" borderId="42" xfId="0" applyFont="1" applyFill="1" applyBorder="1" applyAlignment="1">
      <alignment horizontal="center" vertical="center"/>
    </xf>
    <xf numFmtId="164" fontId="0" fillId="0" borderId="3" xfId="0" applyNumberFormat="1" applyFont="1" applyFill="1" applyBorder="1" applyAlignment="1">
      <alignment horizontal="center" vertical="center"/>
    </xf>
    <xf numFmtId="0" fontId="14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horizontal="center" vertical="center"/>
    </xf>
    <xf numFmtId="0" fontId="14" fillId="2" borderId="41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8" xfId="0" applyFont="1" applyFill="1" applyBorder="1" applyAlignment="1">
      <alignment horizontal="center" vertical="center"/>
    </xf>
    <xf numFmtId="0" fontId="14" fillId="2" borderId="28" xfId="0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25" xfId="0" applyNumberFormat="1" applyFont="1" applyFill="1" applyBorder="1" applyAlignment="1">
      <alignment horizontal="center" vertical="center"/>
    </xf>
    <xf numFmtId="164" fontId="15" fillId="0" borderId="14" xfId="0" applyNumberFormat="1" applyFont="1" applyFill="1" applyBorder="1" applyAlignment="1">
      <alignment horizontal="center" vertical="center" wrapText="1"/>
    </xf>
    <xf numFmtId="164" fontId="15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47" fillId="0" borderId="24" xfId="0" applyFont="1" applyBorder="1" applyAlignment="1">
      <alignment horizontal="center"/>
    </xf>
    <xf numFmtId="164" fontId="42" fillId="0" borderId="24" xfId="0" applyNumberFormat="1" applyFont="1" applyBorder="1" applyAlignment="1">
      <alignment horizontal="center"/>
    </xf>
    <xf numFmtId="164" fontId="42" fillId="0" borderId="10" xfId="0" applyNumberFormat="1" applyFont="1" applyBorder="1" applyAlignment="1">
      <alignment horizontal="center"/>
    </xf>
    <xf numFmtId="164" fontId="42" fillId="0" borderId="12" xfId="0" applyNumberFormat="1" applyFont="1" applyBorder="1" applyAlignment="1">
      <alignment horizontal="center"/>
    </xf>
    <xf numFmtId="0" fontId="42" fillId="0" borderId="0" xfId="0" applyFont="1" applyAlignment="1">
      <alignment horizontal="center" vertical="center" wrapText="1"/>
    </xf>
    <xf numFmtId="0" fontId="47" fillId="0" borderId="4" xfId="0" applyFont="1" applyBorder="1" applyAlignment="1">
      <alignment horizontal="center" vertical="center"/>
    </xf>
    <xf numFmtId="0" fontId="47" fillId="0" borderId="1" xfId="0" applyFont="1" applyBorder="1" applyAlignment="1">
      <alignment horizontal="center" vertical="center"/>
    </xf>
    <xf numFmtId="0" fontId="47" fillId="0" borderId="14" xfId="0" applyFont="1" applyBorder="1" applyAlignment="1">
      <alignment horizontal="center" vertical="center"/>
    </xf>
    <xf numFmtId="164" fontId="42" fillId="0" borderId="14" xfId="0" applyNumberFormat="1" applyFont="1" applyBorder="1" applyAlignment="1">
      <alignment horizontal="center" vertical="center"/>
    </xf>
    <xf numFmtId="164" fontId="42" fillId="0" borderId="8" xfId="0" applyNumberFormat="1" applyFont="1" applyBorder="1" applyAlignment="1">
      <alignment horizontal="center" vertical="center"/>
    </xf>
    <xf numFmtId="164" fontId="42" fillId="0" borderId="28" xfId="0" applyNumberFormat="1" applyFont="1" applyBorder="1" applyAlignment="1">
      <alignment horizontal="center" vertical="center"/>
    </xf>
    <xf numFmtId="0" fontId="47" fillId="0" borderId="14" xfId="0" applyFont="1" applyBorder="1" applyAlignment="1">
      <alignment horizontal="center"/>
    </xf>
    <xf numFmtId="0" fontId="44" fillId="2" borderId="16" xfId="0" applyFont="1" applyFill="1" applyBorder="1" applyAlignment="1">
      <alignment horizontal="center"/>
    </xf>
    <xf numFmtId="0" fontId="44" fillId="2" borderId="36" xfId="0" applyFont="1" applyFill="1" applyBorder="1" applyAlignment="1">
      <alignment horizontal="center"/>
    </xf>
    <xf numFmtId="0" fontId="44" fillId="2" borderId="17" xfId="0" applyFont="1" applyFill="1" applyBorder="1" applyAlignment="1">
      <alignment horizontal="center"/>
    </xf>
    <xf numFmtId="0" fontId="44" fillId="2" borderId="18" xfId="0" applyFont="1" applyFill="1" applyBorder="1" applyAlignment="1">
      <alignment horizontal="center"/>
    </xf>
    <xf numFmtId="0" fontId="45" fillId="2" borderId="35" xfId="0" applyFont="1" applyFill="1" applyBorder="1" applyAlignment="1">
      <alignment horizontal="center" vertical="center"/>
    </xf>
    <xf numFmtId="0" fontId="44" fillId="2" borderId="34" xfId="0" applyFont="1" applyFill="1" applyBorder="1" applyAlignment="1">
      <alignment horizontal="center" vertical="center"/>
    </xf>
    <xf numFmtId="0" fontId="44" fillId="2" borderId="18" xfId="0" applyFont="1" applyFill="1" applyBorder="1" applyAlignment="1">
      <alignment horizontal="center" vertical="center"/>
    </xf>
    <xf numFmtId="0" fontId="44" fillId="2" borderId="16" xfId="0" applyFont="1" applyFill="1" applyBorder="1" applyAlignment="1">
      <alignment horizontal="center" vertical="center"/>
    </xf>
    <xf numFmtId="0" fontId="47" fillId="0" borderId="2" xfId="0" applyFont="1" applyBorder="1" applyAlignment="1">
      <alignment horizontal="center" vertical="center"/>
    </xf>
    <xf numFmtId="0" fontId="47" fillId="0" borderId="3" xfId="0" applyFont="1" applyBorder="1" applyAlignment="1">
      <alignment horizontal="center" vertical="center"/>
    </xf>
    <xf numFmtId="0" fontId="47" fillId="0" borderId="23" xfId="0" applyFont="1" applyBorder="1" applyAlignment="1">
      <alignment horizontal="center" vertical="center"/>
    </xf>
    <xf numFmtId="164" fontId="42" fillId="0" borderId="23" xfId="0" applyNumberFormat="1" applyFont="1" applyBorder="1" applyAlignment="1">
      <alignment horizontal="center" vertical="center"/>
    </xf>
    <xf numFmtId="164" fontId="42" fillId="0" borderId="25" xfId="0" applyNumberFormat="1" applyFont="1" applyBorder="1" applyAlignment="1">
      <alignment horizontal="center" vertical="center"/>
    </xf>
    <xf numFmtId="164" fontId="42" fillId="0" borderId="27" xfId="0" applyNumberFormat="1" applyFont="1" applyBorder="1" applyAlignment="1">
      <alignment horizontal="center" vertical="center"/>
    </xf>
    <xf numFmtId="164" fontId="15" fillId="0" borderId="45" xfId="0" applyNumberFormat="1" applyFont="1" applyFill="1" applyBorder="1" applyAlignment="1">
      <alignment horizontal="center" vertical="center"/>
    </xf>
    <xf numFmtId="164" fontId="15" fillId="0" borderId="11" xfId="0" applyNumberFormat="1" applyFont="1" applyFill="1" applyBorder="1" applyAlignment="1">
      <alignment horizontal="center" vertical="center"/>
    </xf>
    <xf numFmtId="164" fontId="15" fillId="0" borderId="46" xfId="0" applyNumberFormat="1" applyFont="1" applyFill="1" applyBorder="1" applyAlignment="1">
      <alignment horizontal="center" vertical="center"/>
    </xf>
    <xf numFmtId="164" fontId="15" fillId="0" borderId="56" xfId="0" applyNumberFormat="1" applyFont="1" applyFill="1" applyBorder="1" applyAlignment="1">
      <alignment horizontal="center" vertical="center"/>
    </xf>
    <xf numFmtId="164" fontId="0" fillId="0" borderId="41" xfId="0" applyNumberFormat="1" applyFont="1" applyFill="1" applyBorder="1" applyAlignment="1">
      <alignment horizontal="center" vertical="center"/>
    </xf>
    <xf numFmtId="9" fontId="9" fillId="0" borderId="1" xfId="2" applyFont="1" applyBorder="1" applyAlignment="1">
      <alignment horizontal="center" vertical="center"/>
    </xf>
    <xf numFmtId="0" fontId="11" fillId="2" borderId="88" xfId="0" applyFont="1" applyFill="1" applyBorder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82" xfId="0" applyFont="1" applyFill="1" applyBorder="1" applyAlignment="1">
      <alignment horizontal="center" vertical="center"/>
    </xf>
    <xf numFmtId="0" fontId="11" fillId="2" borderId="32" xfId="0" applyFont="1" applyFill="1" applyBorder="1" applyAlignment="1">
      <alignment horizontal="center" vertical="center"/>
    </xf>
    <xf numFmtId="164" fontId="9" fillId="0" borderId="3" xfId="0" applyNumberFormat="1" applyFont="1" applyFill="1" applyBorder="1" applyAlignment="1">
      <alignment horizontal="center" vertical="center"/>
    </xf>
    <xf numFmtId="164" fontId="9" fillId="0" borderId="23" xfId="0" applyNumberFormat="1" applyFont="1" applyFill="1" applyBorder="1" applyAlignment="1">
      <alignment horizontal="center" vertical="center"/>
    </xf>
    <xf numFmtId="164" fontId="9" fillId="0" borderId="25" xfId="0" applyNumberFormat="1" applyFont="1" applyFill="1" applyBorder="1" applyAlignment="1">
      <alignment horizontal="center" vertical="center"/>
    </xf>
    <xf numFmtId="164" fontId="9" fillId="0" borderId="1" xfId="2" applyNumberFormat="1" applyFont="1" applyBorder="1" applyAlignment="1">
      <alignment horizontal="center" vertical="center"/>
    </xf>
    <xf numFmtId="0" fontId="45" fillId="2" borderId="2" xfId="0" applyFont="1" applyFill="1" applyBorder="1" applyAlignment="1">
      <alignment horizontal="center" vertical="center"/>
    </xf>
    <xf numFmtId="0" fontId="45" fillId="2" borderId="7" xfId="0" applyFont="1" applyFill="1" applyBorder="1" applyAlignment="1">
      <alignment horizontal="center" vertical="center"/>
    </xf>
    <xf numFmtId="164" fontId="2" fillId="3" borderId="24" xfId="0" applyNumberFormat="1" applyFont="1" applyFill="1" applyBorder="1" applyAlignment="1">
      <alignment horizontal="center"/>
    </xf>
    <xf numFmtId="164" fontId="2" fillId="3" borderId="10" xfId="0" applyNumberFormat="1" applyFont="1" applyFill="1" applyBorder="1" applyAlignment="1">
      <alignment horizontal="center"/>
    </xf>
    <xf numFmtId="164" fontId="4" fillId="0" borderId="94" xfId="0" applyNumberFormat="1" applyFont="1" applyFill="1" applyBorder="1" applyAlignment="1">
      <alignment horizontal="center" vertical="center" wrapText="1"/>
    </xf>
    <xf numFmtId="164" fontId="4" fillId="0" borderId="95" xfId="0" applyNumberFormat="1" applyFont="1" applyFill="1" applyBorder="1" applyAlignment="1">
      <alignment horizontal="center" vertical="center" wrapText="1"/>
    </xf>
    <xf numFmtId="164" fontId="4" fillId="0" borderId="57" xfId="0" applyNumberFormat="1" applyFont="1" applyFill="1" applyBorder="1" applyAlignment="1">
      <alignment horizontal="center" vertical="center" wrapText="1"/>
    </xf>
    <xf numFmtId="164" fontId="4" fillId="0" borderId="33" xfId="0" applyNumberFormat="1" applyFont="1" applyFill="1" applyBorder="1" applyAlignment="1">
      <alignment horizontal="center" vertical="center" wrapText="1"/>
    </xf>
    <xf numFmtId="164" fontId="4" fillId="0" borderId="55" xfId="0" applyNumberFormat="1" applyFont="1" applyFill="1" applyBorder="1" applyAlignment="1">
      <alignment horizontal="center" vertical="center" wrapText="1"/>
    </xf>
    <xf numFmtId="164" fontId="4" fillId="0" borderId="86" xfId="0" applyNumberFormat="1" applyFont="1" applyFill="1" applyBorder="1" applyAlignment="1">
      <alignment horizontal="center" vertical="center" wrapText="1"/>
    </xf>
    <xf numFmtId="164" fontId="0" fillId="6" borderId="24" xfId="0" applyNumberFormat="1" applyFont="1" applyFill="1" applyBorder="1" applyAlignment="1">
      <alignment horizontal="center"/>
    </xf>
    <xf numFmtId="164" fontId="0" fillId="6" borderId="10" xfId="0" applyNumberFormat="1" applyFont="1" applyFill="1" applyBorder="1" applyAlignment="1">
      <alignment horizontal="center"/>
    </xf>
    <xf numFmtId="0" fontId="54" fillId="0" borderId="14" xfId="0" applyFont="1" applyBorder="1" applyAlignment="1">
      <alignment horizontal="center" vertical="center"/>
    </xf>
    <xf numFmtId="164" fontId="51" fillId="0" borderId="14" xfId="0" applyNumberFormat="1" applyFont="1" applyBorder="1" applyAlignment="1">
      <alignment horizontal="center" vertical="center"/>
    </xf>
    <xf numFmtId="164" fontId="51" fillId="0" borderId="58" xfId="0" applyNumberFormat="1" applyFont="1" applyBorder="1" applyAlignment="1">
      <alignment horizontal="center" vertical="center"/>
    </xf>
    <xf numFmtId="164" fontId="51" fillId="0" borderId="47" xfId="0" applyNumberFormat="1" applyFont="1" applyBorder="1" applyAlignment="1">
      <alignment horizontal="center" vertical="center"/>
    </xf>
    <xf numFmtId="164" fontId="51" fillId="0" borderId="28" xfId="0" applyNumberFormat="1" applyFont="1" applyBorder="1" applyAlignment="1">
      <alignment horizontal="center" vertical="center"/>
    </xf>
    <xf numFmtId="0" fontId="54" fillId="0" borderId="24" xfId="0" applyFont="1" applyBorder="1" applyAlignment="1">
      <alignment horizontal="center" vertical="center"/>
    </xf>
    <xf numFmtId="164" fontId="51" fillId="0" borderId="24" xfId="0" applyNumberFormat="1" applyFont="1" applyBorder="1" applyAlignment="1">
      <alignment horizontal="center" vertical="center"/>
    </xf>
    <xf numFmtId="164" fontId="51" fillId="0" borderId="62" xfId="0" applyNumberFormat="1" applyFont="1" applyBorder="1" applyAlignment="1">
      <alignment horizontal="center" vertical="center"/>
    </xf>
    <xf numFmtId="164" fontId="51" fillId="0" borderId="48" xfId="0" applyNumberFormat="1" applyFont="1" applyBorder="1" applyAlignment="1">
      <alignment horizontal="center" vertical="center"/>
    </xf>
    <xf numFmtId="164" fontId="51" fillId="0" borderId="12" xfId="0" applyNumberFormat="1" applyFont="1" applyBorder="1" applyAlignment="1">
      <alignment horizontal="center" vertical="center"/>
    </xf>
    <xf numFmtId="0" fontId="54" fillId="0" borderId="23" xfId="0" applyFont="1" applyBorder="1" applyAlignment="1">
      <alignment horizontal="center" vertical="center"/>
    </xf>
    <xf numFmtId="164" fontId="51" fillId="0" borderId="23" xfId="0" applyNumberFormat="1" applyFont="1" applyBorder="1" applyAlignment="1">
      <alignment horizontal="center" vertical="center"/>
    </xf>
    <xf numFmtId="164" fontId="51" fillId="0" borderId="61" xfId="0" applyNumberFormat="1" applyFont="1" applyBorder="1" applyAlignment="1">
      <alignment horizontal="center" vertical="center"/>
    </xf>
    <xf numFmtId="164" fontId="51" fillId="0" borderId="73" xfId="0" applyNumberFormat="1" applyFont="1" applyBorder="1" applyAlignment="1">
      <alignment horizontal="center" vertical="center"/>
    </xf>
    <xf numFmtId="164" fontId="51" fillId="0" borderId="27" xfId="0" applyNumberFormat="1" applyFont="1" applyBorder="1" applyAlignment="1">
      <alignment horizontal="center" vertical="center"/>
    </xf>
    <xf numFmtId="0" fontId="49" fillId="2" borderId="16" xfId="0" applyFont="1" applyFill="1" applyBorder="1" applyAlignment="1">
      <alignment horizontal="center" vertical="center"/>
    </xf>
    <xf numFmtId="0" fontId="49" fillId="2" borderId="36" xfId="0" applyFont="1" applyFill="1" applyBorder="1" applyAlignment="1">
      <alignment horizontal="center" vertical="center"/>
    </xf>
    <xf numFmtId="0" fontId="49" fillId="2" borderId="66" xfId="0" applyFont="1" applyFill="1" applyBorder="1" applyAlignment="1">
      <alignment horizontal="center" vertical="center"/>
    </xf>
    <xf numFmtId="0" fontId="52" fillId="2" borderId="35" xfId="0" applyFont="1" applyFill="1" applyBorder="1" applyAlignment="1">
      <alignment horizontal="center" vertical="center"/>
    </xf>
    <xf numFmtId="0" fontId="52" fillId="2" borderId="91" xfId="0" applyFont="1" applyFill="1" applyBorder="1" applyAlignment="1">
      <alignment horizontal="center" vertical="center"/>
    </xf>
    <xf numFmtId="0" fontId="49" fillId="2" borderId="54" xfId="0" applyFont="1" applyFill="1" applyBorder="1" applyAlignment="1">
      <alignment horizontal="center" vertical="center"/>
    </xf>
    <xf numFmtId="0" fontId="49" fillId="2" borderId="37" xfId="0" applyFont="1" applyFill="1" applyBorder="1" applyAlignment="1">
      <alignment horizontal="center" vertical="center"/>
    </xf>
    <xf numFmtId="0" fontId="49" fillId="2" borderId="38" xfId="0" applyFont="1" applyFill="1" applyBorder="1" applyAlignment="1">
      <alignment horizontal="center" vertical="center"/>
    </xf>
    <xf numFmtId="0" fontId="57" fillId="2" borderId="16" xfId="0" applyFont="1" applyFill="1" applyBorder="1" applyAlignment="1">
      <alignment horizontal="center" vertical="center"/>
    </xf>
    <xf numFmtId="0" fontId="57" fillId="2" borderId="17" xfId="0" applyFont="1" applyFill="1" applyBorder="1" applyAlignment="1">
      <alignment horizontal="center" vertical="center"/>
    </xf>
    <xf numFmtId="0" fontId="57" fillId="2" borderId="18" xfId="0" applyFont="1" applyFill="1" applyBorder="1" applyAlignment="1">
      <alignment horizontal="center" vertical="center"/>
    </xf>
    <xf numFmtId="0" fontId="58" fillId="2" borderId="50" xfId="0" applyFont="1" applyFill="1" applyBorder="1" applyAlignment="1">
      <alignment horizontal="center" vertical="center"/>
    </xf>
    <xf numFmtId="0" fontId="58" fillId="2" borderId="51" xfId="0" applyFont="1" applyFill="1" applyBorder="1" applyAlignment="1">
      <alignment horizontal="center" vertical="center"/>
    </xf>
    <xf numFmtId="0" fontId="60" fillId="0" borderId="2" xfId="0" applyFont="1" applyBorder="1" applyAlignment="1">
      <alignment horizontal="center" vertical="center"/>
    </xf>
    <xf numFmtId="0" fontId="60" fillId="0" borderId="3" xfId="0" applyFont="1" applyBorder="1" applyAlignment="1">
      <alignment horizontal="center" vertical="center"/>
    </xf>
    <xf numFmtId="0" fontId="60" fillId="0" borderId="4" xfId="0" applyFon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60" fillId="0" borderId="7" xfId="0" applyFont="1" applyBorder="1" applyAlignment="1">
      <alignment horizontal="center" vertical="center"/>
    </xf>
    <xf numFmtId="0" fontId="60" fillId="0" borderId="5" xfId="0" applyFont="1" applyBorder="1" applyAlignment="1">
      <alignment horizontal="center" vertical="center"/>
    </xf>
    <xf numFmtId="164" fontId="2" fillId="0" borderId="24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42" fillId="3" borderId="24" xfId="0" applyNumberFormat="1" applyFont="1" applyFill="1" applyBorder="1" applyAlignment="1">
      <alignment horizontal="center"/>
    </xf>
    <xf numFmtId="164" fontId="42" fillId="3" borderId="12" xfId="0" applyNumberFormat="1" applyFont="1" applyFill="1" applyBorder="1" applyAlignment="1">
      <alignment horizontal="center"/>
    </xf>
    <xf numFmtId="0" fontId="14" fillId="2" borderId="9" xfId="0" applyFont="1" applyFill="1" applyBorder="1" applyAlignment="1">
      <alignment horizontal="center" vertical="center"/>
    </xf>
    <xf numFmtId="164" fontId="0" fillId="0" borderId="24" xfId="0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15" fillId="0" borderId="8" xfId="0" applyNumberFormat="1" applyFont="1" applyFill="1" applyBorder="1" applyAlignment="1">
      <alignment horizontal="center" vertical="center"/>
    </xf>
    <xf numFmtId="0" fontId="14" fillId="7" borderId="1" xfId="0" applyFont="1" applyFill="1" applyBorder="1" applyAlignment="1">
      <alignment horizontal="center" vertical="center"/>
    </xf>
    <xf numFmtId="164" fontId="4" fillId="0" borderId="70" xfId="0" applyNumberFormat="1" applyFont="1" applyFill="1" applyBorder="1" applyAlignment="1">
      <alignment horizontal="center" vertical="center"/>
    </xf>
    <xf numFmtId="164" fontId="4" fillId="0" borderId="38" xfId="0" applyNumberFormat="1" applyFont="1" applyFill="1" applyBorder="1" applyAlignment="1">
      <alignment horizontal="center" vertical="center"/>
    </xf>
    <xf numFmtId="166" fontId="2" fillId="0" borderId="24" xfId="0" applyNumberFormat="1" applyFont="1" applyBorder="1" applyAlignment="1">
      <alignment horizontal="center" vertical="center"/>
    </xf>
    <xf numFmtId="166" fontId="2" fillId="0" borderId="10" xfId="0" applyNumberFormat="1" applyFont="1" applyBorder="1" applyAlignment="1">
      <alignment horizontal="center" vertical="center"/>
    </xf>
    <xf numFmtId="166" fontId="2" fillId="0" borderId="12" xfId="0" applyNumberFormat="1" applyFont="1" applyBorder="1" applyAlignment="1">
      <alignment horizontal="center" vertical="center"/>
    </xf>
    <xf numFmtId="0" fontId="28" fillId="2" borderId="66" xfId="0" applyFont="1" applyFill="1" applyBorder="1" applyAlignment="1">
      <alignment horizontal="center" vertical="center"/>
    </xf>
    <xf numFmtId="0" fontId="29" fillId="2" borderId="91" xfId="0" applyFont="1" applyFill="1" applyBorder="1" applyAlignment="1">
      <alignment horizontal="center" vertical="center"/>
    </xf>
    <xf numFmtId="0" fontId="28" fillId="2" borderId="54" xfId="0" applyFont="1" applyFill="1" applyBorder="1" applyAlignment="1">
      <alignment horizontal="center" vertical="center"/>
    </xf>
    <xf numFmtId="0" fontId="66" fillId="0" borderId="4" xfId="0" applyFont="1" applyBorder="1" applyAlignment="1">
      <alignment horizontal="center" vertical="center"/>
    </xf>
    <xf numFmtId="0" fontId="66" fillId="0" borderId="1" xfId="0" applyFont="1" applyBorder="1" applyAlignment="1">
      <alignment horizontal="center" vertical="center"/>
    </xf>
    <xf numFmtId="0" fontId="66" fillId="0" borderId="14" xfId="0" applyFont="1" applyBorder="1" applyAlignment="1">
      <alignment horizontal="center" vertical="center"/>
    </xf>
    <xf numFmtId="164" fontId="61" fillId="0" borderId="14" xfId="0" applyNumberFormat="1" applyFont="1" applyBorder="1" applyAlignment="1">
      <alignment horizontal="center" vertical="center"/>
    </xf>
    <xf numFmtId="164" fontId="61" fillId="0" borderId="8" xfId="0" applyNumberFormat="1" applyFont="1" applyBorder="1" applyAlignment="1">
      <alignment horizontal="center" vertical="center"/>
    </xf>
    <xf numFmtId="164" fontId="61" fillId="0" borderId="28" xfId="0" applyNumberFormat="1" applyFont="1" applyBorder="1" applyAlignment="1">
      <alignment horizontal="center" vertical="center"/>
    </xf>
    <xf numFmtId="0" fontId="66" fillId="0" borderId="7" xfId="0" applyFont="1" applyBorder="1" applyAlignment="1">
      <alignment horizontal="center" vertical="center"/>
    </xf>
    <xf numFmtId="0" fontId="66" fillId="0" borderId="5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164" fontId="61" fillId="0" borderId="24" xfId="0" applyNumberFormat="1" applyFont="1" applyBorder="1" applyAlignment="1">
      <alignment horizontal="center" vertical="center"/>
    </xf>
    <xf numFmtId="164" fontId="61" fillId="0" borderId="10" xfId="0" applyNumberFormat="1" applyFont="1" applyBorder="1" applyAlignment="1">
      <alignment horizontal="center" vertical="center"/>
    </xf>
    <xf numFmtId="164" fontId="61" fillId="0" borderId="12" xfId="0" applyNumberFormat="1" applyFont="1" applyBorder="1" applyAlignment="1">
      <alignment horizontal="center" vertical="center"/>
    </xf>
    <xf numFmtId="0" fontId="66" fillId="0" borderId="2" xfId="0" applyFont="1" applyBorder="1" applyAlignment="1">
      <alignment horizontal="center" vertical="center"/>
    </xf>
    <xf numFmtId="0" fontId="66" fillId="0" borderId="3" xfId="0" applyFont="1" applyBorder="1" applyAlignment="1">
      <alignment horizontal="center" vertical="center"/>
    </xf>
    <xf numFmtId="0" fontId="66" fillId="0" borderId="23" xfId="0" applyFont="1" applyBorder="1" applyAlignment="1">
      <alignment horizontal="center" vertical="center"/>
    </xf>
    <xf numFmtId="164" fontId="61" fillId="0" borderId="23" xfId="0" applyNumberFormat="1" applyFont="1" applyBorder="1" applyAlignment="1">
      <alignment horizontal="center" vertical="center"/>
    </xf>
    <xf numFmtId="164" fontId="61" fillId="0" borderId="25" xfId="0" applyNumberFormat="1" applyFont="1" applyBorder="1" applyAlignment="1">
      <alignment horizontal="center" vertical="center"/>
    </xf>
    <xf numFmtId="164" fontId="61" fillId="0" borderId="27" xfId="0" applyNumberFormat="1" applyFont="1" applyBorder="1" applyAlignment="1">
      <alignment horizontal="center" vertical="center"/>
    </xf>
    <xf numFmtId="9" fontId="61" fillId="0" borderId="14" xfId="2" applyFont="1" applyBorder="1" applyAlignment="1">
      <alignment horizontal="center" vertical="center"/>
    </xf>
    <xf numFmtId="9" fontId="61" fillId="0" borderId="8" xfId="2" applyFont="1" applyBorder="1" applyAlignment="1">
      <alignment horizontal="center" vertical="center"/>
    </xf>
    <xf numFmtId="9" fontId="61" fillId="0" borderId="28" xfId="2" applyFont="1" applyBorder="1" applyAlignment="1">
      <alignment horizontal="center" vertical="center"/>
    </xf>
    <xf numFmtId="0" fontId="63" fillId="2" borderId="16" xfId="0" applyFont="1" applyFill="1" applyBorder="1" applyAlignment="1">
      <alignment horizontal="center" vertical="center"/>
    </xf>
    <xf numFmtId="0" fontId="63" fillId="2" borderId="36" xfId="0" applyFont="1" applyFill="1" applyBorder="1" applyAlignment="1">
      <alignment horizontal="center" vertical="center"/>
    </xf>
    <xf numFmtId="0" fontId="63" fillId="2" borderId="17" xfId="0" applyFont="1" applyFill="1" applyBorder="1" applyAlignment="1">
      <alignment horizontal="center" vertical="center"/>
    </xf>
    <xf numFmtId="0" fontId="63" fillId="2" borderId="18" xfId="0" applyFont="1" applyFill="1" applyBorder="1" applyAlignment="1">
      <alignment horizontal="center" vertical="center"/>
    </xf>
    <xf numFmtId="0" fontId="64" fillId="2" borderId="35" xfId="0" applyFont="1" applyFill="1" applyBorder="1" applyAlignment="1">
      <alignment horizontal="center" vertical="center"/>
    </xf>
    <xf numFmtId="0" fontId="64" fillId="2" borderId="22" xfId="0" applyFont="1" applyFill="1" applyBorder="1" applyAlignment="1">
      <alignment horizontal="center" vertical="center"/>
    </xf>
    <xf numFmtId="0" fontId="63" fillId="2" borderId="34" xfId="0" applyFont="1" applyFill="1" applyBorder="1" applyAlignment="1">
      <alignment horizontal="center" vertical="center"/>
    </xf>
    <xf numFmtId="0" fontId="16" fillId="2" borderId="91" xfId="0" applyFont="1" applyFill="1" applyBorder="1" applyAlignment="1">
      <alignment horizontal="center" vertical="center"/>
    </xf>
    <xf numFmtId="0" fontId="14" fillId="2" borderId="72" xfId="0" applyFont="1" applyFill="1" applyBorder="1" applyAlignment="1">
      <alignment horizontal="center" vertical="center"/>
    </xf>
    <xf numFmtId="0" fontId="14" fillId="2" borderId="66" xfId="0" applyFont="1" applyFill="1" applyBorder="1" applyAlignment="1">
      <alignment horizontal="center" vertical="center"/>
    </xf>
    <xf numFmtId="0" fontId="14" fillId="2" borderId="65" xfId="0" applyFont="1" applyFill="1" applyBorder="1" applyAlignment="1">
      <alignment horizontal="center" vertical="center"/>
    </xf>
    <xf numFmtId="164" fontId="51" fillId="0" borderId="8" xfId="0" applyNumberFormat="1" applyFont="1" applyBorder="1" applyAlignment="1">
      <alignment horizontal="center" vertical="center"/>
    </xf>
    <xf numFmtId="164" fontId="51" fillId="3" borderId="24" xfId="0" applyNumberFormat="1" applyFont="1" applyFill="1" applyBorder="1" applyAlignment="1">
      <alignment horizontal="center"/>
    </xf>
    <xf numFmtId="164" fontId="51" fillId="3" borderId="10" xfId="0" applyNumberFormat="1" applyFont="1" applyFill="1" applyBorder="1" applyAlignment="1">
      <alignment horizontal="center"/>
    </xf>
    <xf numFmtId="0" fontId="49" fillId="2" borderId="34" xfId="0" applyFont="1" applyFill="1" applyBorder="1" applyAlignment="1">
      <alignment horizontal="center" vertical="center"/>
    </xf>
    <xf numFmtId="0" fontId="49" fillId="2" borderId="18" xfId="0" applyFont="1" applyFill="1" applyBorder="1" applyAlignment="1">
      <alignment horizontal="center" vertical="center"/>
    </xf>
    <xf numFmtId="164" fontId="51" fillId="0" borderId="25" xfId="0" applyNumberFormat="1" applyFont="1" applyBorder="1" applyAlignment="1">
      <alignment horizontal="center" vertical="center"/>
    </xf>
    <xf numFmtId="9" fontId="51" fillId="0" borderId="14" xfId="2" applyFont="1" applyBorder="1" applyAlignment="1">
      <alignment horizontal="center" vertical="center"/>
    </xf>
    <xf numFmtId="9" fontId="51" fillId="0" borderId="8" xfId="2" applyFont="1" applyBorder="1" applyAlignment="1">
      <alignment horizontal="center" vertical="center"/>
    </xf>
    <xf numFmtId="164" fontId="51" fillId="0" borderId="24" xfId="0" applyNumberFormat="1" applyFont="1" applyBorder="1" applyAlignment="1">
      <alignment horizontal="center"/>
    </xf>
    <xf numFmtId="164" fontId="51" fillId="0" borderId="10" xfId="0" applyNumberFormat="1" applyFont="1" applyBorder="1" applyAlignment="1">
      <alignment horizontal="center"/>
    </xf>
    <xf numFmtId="0" fontId="54" fillId="0" borderId="7" xfId="0" applyFont="1" applyBorder="1" applyAlignment="1">
      <alignment horizontal="center"/>
    </xf>
    <xf numFmtId="0" fontId="54" fillId="0" borderId="5" xfId="0" applyFont="1" applyBorder="1" applyAlignment="1">
      <alignment horizontal="center"/>
    </xf>
    <xf numFmtId="0" fontId="54" fillId="0" borderId="24" xfId="0" applyFont="1" applyBorder="1" applyAlignment="1">
      <alignment horizontal="center"/>
    </xf>
    <xf numFmtId="164" fontId="51" fillId="0" borderId="12" xfId="0" applyNumberFormat="1" applyFont="1" applyBorder="1" applyAlignment="1">
      <alignment horizontal="center"/>
    </xf>
    <xf numFmtId="0" fontId="54" fillId="0" borderId="4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4" fillId="0" borderId="14" xfId="0" applyFont="1" applyBorder="1" applyAlignment="1">
      <alignment horizontal="center"/>
    </xf>
    <xf numFmtId="0" fontId="69" fillId="2" borderId="34" xfId="0" applyFont="1" applyFill="1" applyBorder="1" applyAlignment="1">
      <alignment horizontal="center" vertical="center"/>
    </xf>
    <xf numFmtId="0" fontId="69" fillId="2" borderId="18" xfId="0" applyFont="1" applyFill="1" applyBorder="1" applyAlignment="1">
      <alignment horizontal="center" vertical="center"/>
    </xf>
    <xf numFmtId="0" fontId="49" fillId="2" borderId="16" xfId="0" applyFont="1" applyFill="1" applyBorder="1" applyAlignment="1">
      <alignment horizontal="center"/>
    </xf>
    <xf numFmtId="0" fontId="49" fillId="2" borderId="36" xfId="0" applyFont="1" applyFill="1" applyBorder="1" applyAlignment="1">
      <alignment horizontal="center"/>
    </xf>
    <xf numFmtId="0" fontId="49" fillId="2" borderId="17" xfId="0" applyFont="1" applyFill="1" applyBorder="1" applyAlignment="1">
      <alignment horizontal="center"/>
    </xf>
    <xf numFmtId="0" fontId="49" fillId="2" borderId="18" xfId="0" applyFont="1" applyFill="1" applyBorder="1" applyAlignment="1">
      <alignment horizontal="center"/>
    </xf>
    <xf numFmtId="0" fontId="52" fillId="2" borderId="22" xfId="0" applyFont="1" applyFill="1" applyBorder="1" applyAlignment="1">
      <alignment horizontal="center" vertical="center"/>
    </xf>
    <xf numFmtId="9" fontId="9" fillId="0" borderId="42" xfId="2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" fontId="4" fillId="0" borderId="8" xfId="0" applyNumberFormat="1" applyFont="1" applyFill="1" applyBorder="1" applyAlignment="1">
      <alignment horizontal="center"/>
    </xf>
    <xf numFmtId="2" fontId="0" fillId="0" borderId="0" xfId="0" applyNumberFormat="1"/>
    <xf numFmtId="43" fontId="0" fillId="0" borderId="35" xfId="1" applyFont="1" applyBorder="1"/>
    <xf numFmtId="43" fontId="0" fillId="0" borderId="64" xfId="1" applyFont="1" applyBorder="1"/>
    <xf numFmtId="43" fontId="0" fillId="0" borderId="95" xfId="1" applyFont="1" applyBorder="1"/>
    <xf numFmtId="9" fontId="0" fillId="0" borderId="98" xfId="2" applyFont="1" applyBorder="1"/>
    <xf numFmtId="9" fontId="0" fillId="0" borderId="0" xfId="2" applyFont="1" applyBorder="1"/>
    <xf numFmtId="9" fontId="0" fillId="0" borderId="33" xfId="2" applyFont="1" applyBorder="1"/>
    <xf numFmtId="43" fontId="0" fillId="0" borderId="98" xfId="1" applyFont="1" applyBorder="1"/>
    <xf numFmtId="43" fontId="0" fillId="0" borderId="0" xfId="1" applyFont="1" applyBorder="1"/>
    <xf numFmtId="43" fontId="0" fillId="0" borderId="33" xfId="1" applyFont="1" applyBorder="1"/>
    <xf numFmtId="43" fontId="0" fillId="0" borderId="91" xfId="1" applyFont="1" applyBorder="1"/>
    <xf numFmtId="43" fontId="0" fillId="0" borderId="99" xfId="1" applyFont="1" applyBorder="1"/>
    <xf numFmtId="43" fontId="0" fillId="0" borderId="86" xfId="1" applyFont="1" applyBorder="1"/>
  </cellXfs>
  <cellStyles count="3">
    <cellStyle name="Millares" xfId="1" builtinId="3"/>
    <cellStyle name="Normal" xfId="0" builtinId="0"/>
    <cellStyle name="Porcentaje" xfId="2" builtinId="5"/>
  </cellStyles>
  <dxfs count="549"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  <dxf>
      <fill>
        <patternFill>
          <bgColor rgb="FF00B050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worksheet" Target="worksheets/sheet84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38" Type="http://schemas.openxmlformats.org/officeDocument/2006/relationships/worksheet" Target="worksheets/sheet138.xml"/><Relationship Id="rId154" Type="http://schemas.openxmlformats.org/officeDocument/2006/relationships/worksheet" Target="worksheets/sheet154.xml"/><Relationship Id="rId159" Type="http://schemas.openxmlformats.org/officeDocument/2006/relationships/worksheet" Target="worksheets/sheet159.xml"/><Relationship Id="rId16" Type="http://schemas.openxmlformats.org/officeDocument/2006/relationships/worksheet" Target="worksheets/sheet16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28" Type="http://schemas.openxmlformats.org/officeDocument/2006/relationships/worksheet" Target="worksheets/sheet128.xml"/><Relationship Id="rId144" Type="http://schemas.openxmlformats.org/officeDocument/2006/relationships/worksheet" Target="worksheets/sheet144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0" Type="http://schemas.openxmlformats.org/officeDocument/2006/relationships/worksheet" Target="worksheets/sheet90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65" Type="http://schemas.openxmlformats.org/officeDocument/2006/relationships/theme" Target="theme/theme1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18" Type="http://schemas.openxmlformats.org/officeDocument/2006/relationships/worksheet" Target="worksheets/sheet118.xml"/><Relationship Id="rId134" Type="http://schemas.openxmlformats.org/officeDocument/2006/relationships/worksheet" Target="worksheets/sheet134.xml"/><Relationship Id="rId139" Type="http://schemas.openxmlformats.org/officeDocument/2006/relationships/worksheet" Target="worksheets/sheet139.xml"/><Relationship Id="rId80" Type="http://schemas.openxmlformats.org/officeDocument/2006/relationships/worksheet" Target="worksheets/sheet80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55" Type="http://schemas.openxmlformats.org/officeDocument/2006/relationships/worksheet" Target="worksheets/sheet155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08" Type="http://schemas.openxmlformats.org/officeDocument/2006/relationships/worksheet" Target="worksheets/sheet108.xml"/><Relationship Id="rId124" Type="http://schemas.openxmlformats.org/officeDocument/2006/relationships/worksheet" Target="worksheets/sheet124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6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istente%20Compras/Documents/ARCHIVOS/OCT%202021/CC%20OCT%202021/CUADROS%20COMPARITIVOS%20OCTUBRE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-01102021-03"/>
      <sheetName val="ME-01102021-02"/>
      <sheetName val="ME-01102021-01"/>
      <sheetName val="ME-02102021-05"/>
      <sheetName val="ME-04102021-08"/>
      <sheetName val="ME-04102021-09"/>
      <sheetName val="CO-05102021-17"/>
      <sheetName val="ME-04102021-16"/>
      <sheetName val="ME-05102021-20"/>
      <sheetName val="ME-05102021-18"/>
      <sheetName val="ME-06102021-27"/>
      <sheetName val="ME-05102021-19"/>
      <sheetName val="ME-07102021-36"/>
      <sheetName val="ME-04102021-10"/>
      <sheetName val="HS-11102021-53"/>
      <sheetName val="ME-11102021-54"/>
      <sheetName val="ME-11102021-51"/>
      <sheetName val="ME-11102021-52"/>
      <sheetName val="ME-06102021-24"/>
      <sheetName val="ME-11102021-64"/>
      <sheetName val="IN-12102021-73"/>
      <sheetName val="IN-12102021-74"/>
      <sheetName val="ME-14102021-77"/>
      <sheetName val="PR-14102021-81"/>
      <sheetName val="GG-14102021-87"/>
      <sheetName val="BG-11102021-96"/>
      <sheetName val="BG-11102021-96 (2)"/>
      <sheetName val="ME-14102021-79"/>
      <sheetName val="PR-14102021-81 (2)"/>
      <sheetName val="PR-14102021-97"/>
      <sheetName val="ME-18102021-108"/>
      <sheetName val="ME-18102021-107"/>
      <sheetName val="VE-18102021-146"/>
      <sheetName val="PR-21102021-158"/>
      <sheetName val="ME-20102021-150"/>
      <sheetName val="ME-20102021-151"/>
      <sheetName val="ME-22102021-171"/>
      <sheetName val="ME-25102021-170"/>
      <sheetName val="ME-25102021-190"/>
      <sheetName val="SI-27102021-201"/>
      <sheetName val="HS-28102021-204"/>
      <sheetName val="HS-11102021-53 (2)"/>
      <sheetName val="TIPO DE CAMBIO"/>
      <sheetName val="CC 5A 3P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>
        <row r="4">
          <cell r="C4">
            <v>35.403599999999997</v>
          </cell>
        </row>
      </sheetData>
      <sheetData sheetId="4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722-A384-4A4A-B4C7-1A8FF419B24B}">
  <sheetPr codeName="Hoja1"/>
  <dimension ref="A2:I12"/>
  <sheetViews>
    <sheetView showGridLines="0" workbookViewId="0">
      <selection activeCell="C6" sqref="C6"/>
    </sheetView>
  </sheetViews>
  <sheetFormatPr baseColWidth="10" defaultRowHeight="15.75" x14ac:dyDescent="0.25"/>
  <cols>
    <col min="1" max="1" width="2.140625" style="34" bestFit="1" customWidth="1"/>
    <col min="2" max="2" width="6.28515625" style="34" bestFit="1" customWidth="1"/>
    <col min="3" max="3" width="22" style="34" bestFit="1" customWidth="1"/>
    <col min="4" max="8" width="12.85546875" style="34" bestFit="1" customWidth="1"/>
    <col min="9" max="9" width="13.42578125" style="35" bestFit="1" customWidth="1"/>
    <col min="10" max="16384" width="11.42578125" style="34"/>
  </cols>
  <sheetData>
    <row r="2" spans="1:8" ht="16.5" thickBot="1" x14ac:dyDescent="0.3"/>
    <row r="3" spans="1:8" ht="16.5" thickBot="1" x14ac:dyDescent="0.3">
      <c r="A3" s="1100" t="s">
        <v>1</v>
      </c>
      <c r="B3" s="1101"/>
      <c r="C3" s="1101"/>
      <c r="D3" s="1101"/>
      <c r="E3" s="1101"/>
      <c r="F3" s="1101"/>
      <c r="G3" s="1101"/>
      <c r="H3" s="1102"/>
    </row>
    <row r="4" spans="1:8" x14ac:dyDescent="0.25">
      <c r="A4" s="1103" t="s">
        <v>6</v>
      </c>
      <c r="B4" s="43" t="s">
        <v>17</v>
      </c>
      <c r="C4" s="44" t="s">
        <v>24</v>
      </c>
      <c r="D4" s="1105" t="s">
        <v>18</v>
      </c>
      <c r="E4" s="1105" t="s">
        <v>19</v>
      </c>
      <c r="F4" s="1105" t="s">
        <v>20</v>
      </c>
      <c r="G4" s="1105" t="s">
        <v>21</v>
      </c>
      <c r="H4" s="1107" t="s">
        <v>22</v>
      </c>
    </row>
    <row r="5" spans="1:8" ht="16.5" thickBot="1" x14ac:dyDescent="0.3">
      <c r="A5" s="1104"/>
      <c r="B5" s="45" t="s">
        <v>11</v>
      </c>
      <c r="C5" s="45" t="s">
        <v>0</v>
      </c>
      <c r="D5" s="1106"/>
      <c r="E5" s="1106"/>
      <c r="F5" s="1106"/>
      <c r="G5" s="1106"/>
      <c r="H5" s="1108"/>
    </row>
    <row r="6" spans="1:8" ht="16.5" thickBot="1" x14ac:dyDescent="0.3">
      <c r="A6" s="46">
        <v>1</v>
      </c>
      <c r="B6" s="47">
        <v>1</v>
      </c>
      <c r="C6" s="48" t="s">
        <v>23</v>
      </c>
      <c r="D6" s="49">
        <f>39.31*'[1]TIPO DE CAMBIO'!C4</f>
        <v>1391.715516</v>
      </c>
      <c r="E6" s="49">
        <f>66*'[1]TIPO DE CAMBIO'!C4</f>
        <v>2336.6376</v>
      </c>
      <c r="F6" s="49">
        <f>30.85*'[1]TIPO DE CAMBIO'!C4</f>
        <v>1092.2010599999999</v>
      </c>
      <c r="G6" s="49">
        <v>1095.8399999999999</v>
      </c>
      <c r="H6" s="50">
        <v>1173.9100000000001</v>
      </c>
    </row>
    <row r="7" spans="1:8" x14ac:dyDescent="0.25">
      <c r="A7" s="1094" t="s">
        <v>4</v>
      </c>
      <c r="B7" s="1095"/>
      <c r="C7" s="1095"/>
      <c r="D7" s="36">
        <f>SUM(D6:D6)</f>
        <v>1391.715516</v>
      </c>
      <c r="E7" s="36">
        <f>SUM(E6:E6)</f>
        <v>2336.6376</v>
      </c>
      <c r="F7" s="36">
        <f>SUM(F6:F6)</f>
        <v>1092.2010599999999</v>
      </c>
      <c r="G7" s="36">
        <f>SUM(G6:G6)</f>
        <v>1095.8399999999999</v>
      </c>
      <c r="H7" s="37">
        <f>SUM(H6:H6)</f>
        <v>1173.9100000000001</v>
      </c>
    </row>
    <row r="8" spans="1:8" x14ac:dyDescent="0.25">
      <c r="A8" s="1096" t="s">
        <v>5</v>
      </c>
      <c r="B8" s="1097"/>
      <c r="C8" s="1097"/>
      <c r="D8" s="38">
        <v>0</v>
      </c>
      <c r="E8" s="38">
        <v>0</v>
      </c>
      <c r="F8" s="38">
        <v>0</v>
      </c>
      <c r="G8" s="38">
        <v>0</v>
      </c>
      <c r="H8" s="39">
        <v>0</v>
      </c>
    </row>
    <row r="9" spans="1:8" x14ac:dyDescent="0.25">
      <c r="A9" s="1096" t="s">
        <v>2</v>
      </c>
      <c r="B9" s="1097"/>
      <c r="C9" s="1097"/>
      <c r="D9" s="38">
        <f>(D7-D8)*15%</f>
        <v>208.75732739999998</v>
      </c>
      <c r="E9" s="38">
        <f>(E7-E8)*15%</f>
        <v>350.49563999999998</v>
      </c>
      <c r="F9" s="38">
        <f>(F7-F8)*15%</f>
        <v>163.83015899999998</v>
      </c>
      <c r="G9" s="38">
        <f>(G7-G8)*15%</f>
        <v>164.37599999999998</v>
      </c>
      <c r="H9" s="39">
        <f>(H7-H8)*15%</f>
        <v>176.0865</v>
      </c>
    </row>
    <row r="10" spans="1:8" ht="16.5" thickBot="1" x14ac:dyDescent="0.3">
      <c r="A10" s="1098" t="s">
        <v>3</v>
      </c>
      <c r="B10" s="1099"/>
      <c r="C10" s="1099"/>
      <c r="D10" s="41">
        <f>(D7-D8)+D9</f>
        <v>1600.4728433999999</v>
      </c>
      <c r="E10" s="41">
        <f>(E7-E8)+E9</f>
        <v>2687.1332400000001</v>
      </c>
      <c r="F10" s="51">
        <f>(F7-F8)+F9</f>
        <v>1256.031219</v>
      </c>
      <c r="G10" s="41">
        <f>(G7-G8)+G9</f>
        <v>1260.2159999999999</v>
      </c>
      <c r="H10" s="42">
        <f>(H7-H8)+H9</f>
        <v>1349.9965000000002</v>
      </c>
    </row>
    <row r="12" spans="1:8" x14ac:dyDescent="0.25">
      <c r="D12" s="40"/>
      <c r="E12" s="40"/>
      <c r="F12" s="40"/>
      <c r="G12" s="40"/>
      <c r="H12" s="40"/>
    </row>
  </sheetData>
  <mergeCells count="11">
    <mergeCell ref="A7:C7"/>
    <mergeCell ref="A8:C8"/>
    <mergeCell ref="A9:C9"/>
    <mergeCell ref="A10:C10"/>
    <mergeCell ref="A3:H3"/>
    <mergeCell ref="A4:A5"/>
    <mergeCell ref="D4:D5"/>
    <mergeCell ref="E4:E5"/>
    <mergeCell ref="F4:F5"/>
    <mergeCell ref="G4:G5"/>
    <mergeCell ref="H4:H5"/>
  </mergeCells>
  <conditionalFormatting sqref="D6:E6 H6 G10:H10">
    <cfRule type="containsBlanks" dxfId="548" priority="7">
      <formula>LEN(TRIM(D6))=0</formula>
    </cfRule>
    <cfRule type="expression" dxfId="547" priority="8">
      <formula>D6=MIN($D6:$H6)</formula>
    </cfRule>
  </conditionalFormatting>
  <conditionalFormatting sqref="D10:E10">
    <cfRule type="containsBlanks" dxfId="546" priority="5">
      <formula>LEN(TRIM(D10))=0</formula>
    </cfRule>
    <cfRule type="expression" dxfId="545" priority="6">
      <formula>D10=MIN($D10:$H10)</formula>
    </cfRule>
  </conditionalFormatting>
  <conditionalFormatting sqref="G6">
    <cfRule type="containsBlanks" dxfId="544" priority="1">
      <formula>LEN(TRIM(G6))=0</formula>
    </cfRule>
    <cfRule type="expression" dxfId="543" priority="2">
      <formula>G6=MIN($D6:$H6)</formula>
    </cfRule>
  </conditionalFormatting>
  <pageMargins left="0.25" right="0.25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AA64F-BC11-4207-9094-741EFF5A6AFA}">
  <sheetPr codeName="Hoja10"/>
  <dimension ref="B2:I12"/>
  <sheetViews>
    <sheetView showGridLines="0" workbookViewId="0">
      <selection activeCell="D6" sqref="D6"/>
    </sheetView>
  </sheetViews>
  <sheetFormatPr baseColWidth="10" defaultColWidth="6.85546875" defaultRowHeight="17.25" x14ac:dyDescent="0.3"/>
  <cols>
    <col min="1" max="1" width="6.85546875" style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6.85546875" style="5"/>
    <col min="10" max="16384" width="6.8554687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89</v>
      </c>
      <c r="E4" s="1252" t="s">
        <v>91</v>
      </c>
      <c r="F4" s="1251"/>
      <c r="G4" s="1248" t="s">
        <v>92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165" t="s">
        <v>10</v>
      </c>
      <c r="G5" s="31" t="s">
        <v>14</v>
      </c>
      <c r="H5" s="32" t="s">
        <v>10</v>
      </c>
      <c r="I5" s="6"/>
    </row>
    <row r="6" spans="2:9" s="3" customFormat="1" ht="18" thickBot="1" x14ac:dyDescent="0.35">
      <c r="B6" s="19">
        <v>1</v>
      </c>
      <c r="C6" s="16">
        <v>2</v>
      </c>
      <c r="D6" s="9" t="s">
        <v>90</v>
      </c>
      <c r="E6" s="24">
        <v>9000</v>
      </c>
      <c r="F6" s="23">
        <f>+E6*C6</f>
        <v>18000</v>
      </c>
      <c r="G6" s="24">
        <v>7141.32</v>
      </c>
      <c r="H6" s="27">
        <f>+G6*C6</f>
        <v>14282.64</v>
      </c>
      <c r="I6" s="7"/>
    </row>
    <row r="7" spans="2:9" x14ac:dyDescent="0.3">
      <c r="B7" s="1217" t="s">
        <v>4</v>
      </c>
      <c r="C7" s="1218"/>
      <c r="D7" s="1219"/>
      <c r="E7" s="1245">
        <f>SUM(F6:F6)</f>
        <v>18000</v>
      </c>
      <c r="F7" s="1246"/>
      <c r="G7" s="1245">
        <f>SUM(H6:H6)</f>
        <v>14282.64</v>
      </c>
      <c r="H7" s="1247"/>
    </row>
    <row r="8" spans="2:9" x14ac:dyDescent="0.3">
      <c r="B8" s="1205" t="s">
        <v>5</v>
      </c>
      <c r="C8" s="1206"/>
      <c r="D8" s="1207"/>
      <c r="E8" s="1242">
        <v>0</v>
      </c>
      <c r="F8" s="1243"/>
      <c r="G8" s="1242">
        <v>0</v>
      </c>
      <c r="H8" s="1244"/>
    </row>
    <row r="9" spans="2:9" x14ac:dyDescent="0.3">
      <c r="B9" s="1208" t="s">
        <v>2</v>
      </c>
      <c r="C9" s="1209"/>
      <c r="D9" s="1210"/>
      <c r="E9" s="1242">
        <f>(E7-E8)*15%</f>
        <v>2700</v>
      </c>
      <c r="F9" s="1243"/>
      <c r="G9" s="1242">
        <f>(G7-G8)*15%</f>
        <v>2142.3959999999997</v>
      </c>
      <c r="H9" s="1244"/>
    </row>
    <row r="10" spans="2:9" ht="18" thickBot="1" x14ac:dyDescent="0.35">
      <c r="B10" s="1202" t="s">
        <v>3</v>
      </c>
      <c r="C10" s="1203"/>
      <c r="D10" s="1204"/>
      <c r="E10" s="1253">
        <f>(E7-E8)+E9</f>
        <v>20700</v>
      </c>
      <c r="F10" s="1254"/>
      <c r="G10" s="1253">
        <f>(G7-G8)+G9</f>
        <v>16425.036</v>
      </c>
      <c r="H10" s="1255"/>
    </row>
    <row r="12" spans="2:9" x14ac:dyDescent="0.3">
      <c r="E12" s="1" t="s">
        <v>94</v>
      </c>
      <c r="F12" s="4"/>
      <c r="G12" s="4" t="s">
        <v>93</v>
      </c>
      <c r="H12" s="4"/>
    </row>
  </sheetData>
  <mergeCells count="16"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3:H3"/>
    <mergeCell ref="B4:B5"/>
    <mergeCell ref="E4:F4"/>
    <mergeCell ref="G4:H4"/>
    <mergeCell ref="B7:D7"/>
    <mergeCell ref="E7:F7"/>
    <mergeCell ref="G7:H7"/>
  </mergeCells>
  <conditionalFormatting sqref="F6 H6">
    <cfRule type="expression" dxfId="512" priority="17">
      <formula>E6=""</formula>
    </cfRule>
    <cfRule type="expression" dxfId="511" priority="18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6264C-853C-428E-9FC9-C7F1F47D2CE6}">
  <sheetPr codeName="Hoja100"/>
  <dimension ref="A2:J12"/>
  <sheetViews>
    <sheetView showGridLines="0" workbookViewId="0">
      <selection activeCell="B6" sqref="B6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20.140625" style="108" bestFit="1" customWidth="1"/>
    <col min="4" max="4" width="12.85546875" style="108" bestFit="1" customWidth="1"/>
    <col min="5" max="5" width="14" style="108" bestFit="1" customWidth="1"/>
    <col min="6" max="6" width="12.85546875" style="108" bestFit="1" customWidth="1"/>
    <col min="7" max="7" width="14" style="108" bestFit="1" customWidth="1"/>
    <col min="8" max="9" width="12.85546875" style="108" bestFit="1" customWidth="1"/>
    <col min="10" max="10" width="13.42578125" style="109" bestFit="1" customWidth="1"/>
    <col min="11" max="11" width="13.42578125" style="108" bestFit="1" customWidth="1"/>
    <col min="12" max="16384" width="11.42578125" style="108"/>
  </cols>
  <sheetData>
    <row r="2" spans="1:10" ht="16.5" thickBot="1" x14ac:dyDescent="0.3"/>
    <row r="3" spans="1:10" s="34" customFormat="1" ht="16.5" thickBot="1" x14ac:dyDescent="0.3">
      <c r="A3" s="1178" t="s">
        <v>1</v>
      </c>
      <c r="B3" s="1180"/>
      <c r="C3" s="1180"/>
      <c r="D3" s="1180"/>
      <c r="E3" s="1180"/>
      <c r="F3" s="1180"/>
      <c r="G3" s="1180"/>
      <c r="H3" s="1180"/>
      <c r="I3" s="1181"/>
      <c r="J3" s="35"/>
    </row>
    <row r="4" spans="1:10" s="34" customFormat="1" x14ac:dyDescent="0.25">
      <c r="A4" s="1384" t="s">
        <v>6</v>
      </c>
      <c r="B4" s="43" t="s">
        <v>17</v>
      </c>
      <c r="C4" s="44" t="s">
        <v>295</v>
      </c>
      <c r="D4" s="1398" t="s">
        <v>53</v>
      </c>
      <c r="E4" s="1398"/>
      <c r="F4" s="1398" t="s">
        <v>51</v>
      </c>
      <c r="G4" s="1398"/>
      <c r="H4" s="1398" t="s">
        <v>49</v>
      </c>
      <c r="I4" s="1402"/>
      <c r="J4" s="35"/>
    </row>
    <row r="5" spans="1:10" s="34" customFormat="1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393" t="s">
        <v>10</v>
      </c>
      <c r="J5" s="35"/>
    </row>
    <row r="6" spans="1:10" s="124" customFormat="1" ht="16.5" thickBot="1" x14ac:dyDescent="0.3">
      <c r="A6" s="401">
        <v>1</v>
      </c>
      <c r="B6" s="402">
        <v>12</v>
      </c>
      <c r="C6" s="425" t="s">
        <v>298</v>
      </c>
      <c r="D6" s="405">
        <f>(365.04/36)*36.12</f>
        <v>366.2568</v>
      </c>
      <c r="E6" s="405">
        <f>+D6*$B6</f>
        <v>4395.0815999999995</v>
      </c>
      <c r="F6" s="405">
        <f>3920/B6</f>
        <v>326.66666666666669</v>
      </c>
      <c r="G6" s="405">
        <f>+F6*B6</f>
        <v>3920</v>
      </c>
      <c r="H6" s="405">
        <f>2070.84/B6</f>
        <v>172.57000000000002</v>
      </c>
      <c r="I6" s="424">
        <f>+H6*$B6</f>
        <v>2070.84</v>
      </c>
      <c r="J6" s="123"/>
    </row>
    <row r="7" spans="1:10" x14ac:dyDescent="0.25">
      <c r="A7" s="1094" t="s">
        <v>4</v>
      </c>
      <c r="B7" s="1095"/>
      <c r="C7" s="1095"/>
      <c r="D7" s="1399">
        <f>SUM(E6:E6)</f>
        <v>4395.0815999999995</v>
      </c>
      <c r="E7" s="1399"/>
      <c r="F7" s="1399">
        <f>SUM(G6:G6)</f>
        <v>3920</v>
      </c>
      <c r="G7" s="1399"/>
      <c r="H7" s="1399">
        <f>SUM(I6:I6)</f>
        <v>2070.84</v>
      </c>
      <c r="I7" s="1403"/>
    </row>
    <row r="8" spans="1:10" x14ac:dyDescent="0.25">
      <c r="A8" s="1096" t="s">
        <v>5</v>
      </c>
      <c r="B8" s="1097"/>
      <c r="C8" s="1097"/>
      <c r="D8" s="1573">
        <v>0.2</v>
      </c>
      <c r="E8" s="1573"/>
      <c r="F8" s="1581">
        <v>0</v>
      </c>
      <c r="G8" s="1581"/>
      <c r="H8" s="1400">
        <v>0</v>
      </c>
      <c r="I8" s="1401"/>
    </row>
    <row r="9" spans="1:10" x14ac:dyDescent="0.25">
      <c r="A9" s="1199" t="s">
        <v>2</v>
      </c>
      <c r="B9" s="1200"/>
      <c r="C9" s="1200"/>
      <c r="D9" s="1400">
        <f>(D7)*15%</f>
        <v>659.26223999999991</v>
      </c>
      <c r="E9" s="1400"/>
      <c r="F9" s="1400">
        <v>0</v>
      </c>
      <c r="G9" s="1400"/>
      <c r="H9" s="1400">
        <f>(H7)*15%</f>
        <v>310.62600000000003</v>
      </c>
      <c r="I9" s="1401"/>
    </row>
    <row r="10" spans="1:10" ht="16.5" thickBot="1" x14ac:dyDescent="0.3">
      <c r="A10" s="1189" t="s">
        <v>3</v>
      </c>
      <c r="B10" s="1190"/>
      <c r="C10" s="1190"/>
      <c r="D10" s="1396">
        <f>(D7)+D9</f>
        <v>5054.3438399999995</v>
      </c>
      <c r="E10" s="1396"/>
      <c r="F10" s="1396">
        <f>(F7)+F9</f>
        <v>3920</v>
      </c>
      <c r="G10" s="1396"/>
      <c r="H10" s="1396">
        <f>(H7-H8)+H9</f>
        <v>2381.4660000000003</v>
      </c>
      <c r="I10" s="1397"/>
    </row>
    <row r="12" spans="1:10" x14ac:dyDescent="0.25">
      <c r="E12" s="129"/>
      <c r="F12" s="426"/>
      <c r="G12" s="129"/>
      <c r="I12" s="129"/>
    </row>
  </sheetData>
  <mergeCells count="21">
    <mergeCell ref="A7:C7"/>
    <mergeCell ref="D7:E7"/>
    <mergeCell ref="F7:G7"/>
    <mergeCell ref="H7:I7"/>
    <mergeCell ref="A3:I3"/>
    <mergeCell ref="A4:A5"/>
    <mergeCell ref="D4:E4"/>
    <mergeCell ref="F4:G4"/>
    <mergeCell ref="H4:I4"/>
    <mergeCell ref="A10:C10"/>
    <mergeCell ref="D10:E10"/>
    <mergeCell ref="F10:G10"/>
    <mergeCell ref="H10:I10"/>
    <mergeCell ref="A8:C8"/>
    <mergeCell ref="D8:E8"/>
    <mergeCell ref="F8:G8"/>
    <mergeCell ref="H8:I8"/>
    <mergeCell ref="A9:C9"/>
    <mergeCell ref="D9:E9"/>
    <mergeCell ref="F9:G9"/>
    <mergeCell ref="H9:I9"/>
  </mergeCells>
  <conditionalFormatting sqref="E6 I6">
    <cfRule type="expression" dxfId="162" priority="1">
      <formula>D6=""</formula>
    </cfRule>
  </conditionalFormatting>
  <conditionalFormatting sqref="G6">
    <cfRule type="expression" dxfId="161" priority="2">
      <formula>F6=""</formula>
    </cfRule>
    <cfRule type="expression" dxfId="160" priority="3">
      <formula>F6=MIN($D6,#REF!,$H6)</formula>
    </cfRule>
  </conditionalFormatting>
  <conditionalFormatting sqref="E6 G6 I6">
    <cfRule type="expression" dxfId="159" priority="4">
      <formula>D6=MIN($D6,$F6,$H6)</formula>
    </cfRule>
  </conditionalFormatting>
  <pageMargins left="0.25" right="0.25" top="0.75" bottom="0.75" header="0.3" footer="0.3"/>
  <pageSetup orientation="landscape" r:id="rId1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3AC2-4664-4C8A-9E25-5DDC86C25DA4}">
  <sheetPr codeName="Hoja101"/>
  <dimension ref="A2:G12"/>
  <sheetViews>
    <sheetView showGridLines="0" workbookViewId="0">
      <selection activeCell="A3" sqref="A3:F3"/>
    </sheetView>
  </sheetViews>
  <sheetFormatPr baseColWidth="10" defaultRowHeight="18.75" x14ac:dyDescent="0.3"/>
  <cols>
    <col min="1" max="1" width="3.5703125" style="518" bestFit="1" customWidth="1"/>
    <col min="2" max="2" width="7.5703125" style="518" bestFit="1" customWidth="1"/>
    <col min="3" max="3" width="22.7109375" style="518" bestFit="1" customWidth="1"/>
    <col min="4" max="4" width="16.85546875" style="518" bestFit="1" customWidth="1"/>
    <col min="5" max="6" width="13.7109375" style="518" bestFit="1" customWidth="1"/>
    <col min="7" max="7" width="13.42578125" style="519" bestFit="1" customWidth="1"/>
    <col min="8" max="8" width="13.42578125" style="518" bestFit="1" customWidth="1"/>
    <col min="9" max="16384" width="11.42578125" style="518"/>
  </cols>
  <sheetData>
    <row r="2" spans="1:7" ht="19.5" thickBot="1" x14ac:dyDescent="0.35"/>
    <row r="3" spans="1:7" s="521" customFormat="1" ht="19.5" thickBot="1" x14ac:dyDescent="0.35">
      <c r="A3" s="1554" t="s">
        <v>1</v>
      </c>
      <c r="B3" s="1556"/>
      <c r="C3" s="1556"/>
      <c r="D3" s="1556"/>
      <c r="E3" s="1556"/>
      <c r="F3" s="1557"/>
      <c r="G3" s="520"/>
    </row>
    <row r="4" spans="1:7" s="521" customFormat="1" x14ac:dyDescent="0.25">
      <c r="A4" s="1582" t="s">
        <v>6</v>
      </c>
      <c r="B4" s="803" t="s">
        <v>17</v>
      </c>
      <c r="C4" s="804" t="s">
        <v>555</v>
      </c>
      <c r="D4" s="805" t="s">
        <v>333</v>
      </c>
      <c r="E4" s="806" t="s">
        <v>67</v>
      </c>
      <c r="F4" s="807" t="s">
        <v>570</v>
      </c>
      <c r="G4" s="520"/>
    </row>
    <row r="5" spans="1:7" s="521" customFormat="1" ht="19.5" thickBot="1" x14ac:dyDescent="0.3">
      <c r="A5" s="1583"/>
      <c r="B5" s="808" t="s">
        <v>11</v>
      </c>
      <c r="C5" s="809" t="s">
        <v>0</v>
      </c>
      <c r="D5" s="809" t="s">
        <v>10</v>
      </c>
      <c r="E5" s="809" t="s">
        <v>10</v>
      </c>
      <c r="F5" s="810" t="s">
        <v>10</v>
      </c>
      <c r="G5" s="520"/>
    </row>
    <row r="6" spans="1:7" s="523" customFormat="1" x14ac:dyDescent="0.3">
      <c r="A6" s="811">
        <v>1</v>
      </c>
      <c r="B6" s="812">
        <v>1</v>
      </c>
      <c r="C6" s="787" t="s">
        <v>568</v>
      </c>
      <c r="D6" s="813">
        <v>428.05</v>
      </c>
      <c r="E6" s="813">
        <v>403.94</v>
      </c>
      <c r="F6" s="814">
        <v>375</v>
      </c>
      <c r="G6" s="522"/>
    </row>
    <row r="7" spans="1:7" s="523" customFormat="1" ht="19.5" thickBot="1" x14ac:dyDescent="0.35">
      <c r="A7" s="801">
        <v>2</v>
      </c>
      <c r="B7" s="529">
        <v>1</v>
      </c>
      <c r="C7" s="530" t="s">
        <v>569</v>
      </c>
      <c r="D7" s="815">
        <v>291.64999999999998</v>
      </c>
      <c r="E7" s="813">
        <v>399.84</v>
      </c>
      <c r="F7" s="535">
        <v>402</v>
      </c>
      <c r="G7" s="522"/>
    </row>
    <row r="8" spans="1:7" x14ac:dyDescent="0.3">
      <c r="A8" s="1562" t="s">
        <v>4</v>
      </c>
      <c r="B8" s="1563"/>
      <c r="C8" s="1563"/>
      <c r="D8" s="816">
        <f>SUM(D6:D7)</f>
        <v>719.7</v>
      </c>
      <c r="E8" s="816">
        <f t="shared" ref="E8:F8" si="0">SUM(E6:E7)</f>
        <v>803.78</v>
      </c>
      <c r="F8" s="817">
        <f t="shared" si="0"/>
        <v>777</v>
      </c>
    </row>
    <row r="9" spans="1:7" x14ac:dyDescent="0.3">
      <c r="A9" s="1441" t="s">
        <v>2</v>
      </c>
      <c r="B9" s="1442"/>
      <c r="C9" s="1442"/>
      <c r="D9" s="532">
        <f>(D8)*15%</f>
        <v>107.955</v>
      </c>
      <c r="E9" s="532">
        <f t="shared" ref="E9:F9" si="1">(E8)*15%</f>
        <v>120.56699999999999</v>
      </c>
      <c r="F9" s="536">
        <f t="shared" si="1"/>
        <v>116.55</v>
      </c>
    </row>
    <row r="10" spans="1:7" ht="19.5" thickBot="1" x14ac:dyDescent="0.35">
      <c r="A10" s="1439" t="s">
        <v>3</v>
      </c>
      <c r="B10" s="1440"/>
      <c r="C10" s="1440"/>
      <c r="D10" s="537">
        <f>(D8)+D9</f>
        <v>827.65500000000009</v>
      </c>
      <c r="E10" s="537">
        <f t="shared" ref="E10:F10" si="2">(E8)+E9</f>
        <v>924.34699999999998</v>
      </c>
      <c r="F10" s="538">
        <f t="shared" si="2"/>
        <v>893.55</v>
      </c>
    </row>
    <row r="12" spans="1:7" x14ac:dyDescent="0.3">
      <c r="E12" s="524"/>
      <c r="F12" s="524"/>
    </row>
  </sheetData>
  <mergeCells count="5">
    <mergeCell ref="A9:C9"/>
    <mergeCell ref="A10:C10"/>
    <mergeCell ref="A3:F3"/>
    <mergeCell ref="A4:A5"/>
    <mergeCell ref="A8:C8"/>
  </mergeCells>
  <conditionalFormatting sqref="F6:F7">
    <cfRule type="expression" dxfId="158" priority="1">
      <formula>#REF!=""</formula>
    </cfRule>
  </conditionalFormatting>
  <conditionalFormatting sqref="E6:F7">
    <cfRule type="expression" dxfId="157" priority="249">
      <formula>#REF!=MIN($D6,#REF!,#REF!)</formula>
    </cfRule>
  </conditionalFormatting>
  <conditionalFormatting sqref="E6:E7">
    <cfRule type="expression" dxfId="156" priority="250">
      <formula>#REF!=""</formula>
    </cfRule>
    <cfRule type="expression" dxfId="155" priority="251">
      <formula>#REF!=MIN($D6,#REF!,#REF!)</formula>
    </cfRule>
  </conditionalFormatting>
  <pageMargins left="0.25" right="0.25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16DF3-165F-4B98-977F-1FE89EC5E4E0}">
  <sheetPr codeName="Hoja102"/>
  <dimension ref="A1:O21"/>
  <sheetViews>
    <sheetView showGridLines="0" workbookViewId="0">
      <selection activeCell="C4" sqref="C4"/>
    </sheetView>
  </sheetViews>
  <sheetFormatPr baseColWidth="10" defaultRowHeight="15" x14ac:dyDescent="0.25"/>
  <cols>
    <col min="1" max="1" width="3.5703125" style="53" bestFit="1" customWidth="1"/>
    <col min="2" max="2" width="5.85546875" style="53" bestFit="1" customWidth="1"/>
    <col min="3" max="3" width="23.42578125" style="53" bestFit="1" customWidth="1"/>
    <col min="4" max="9" width="11.7109375" style="53" bestFit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529</v>
      </c>
      <c r="D2" s="1382" t="s">
        <v>49</v>
      </c>
      <c r="E2" s="1382"/>
      <c r="F2" s="1382" t="s">
        <v>51</v>
      </c>
      <c r="G2" s="1382"/>
      <c r="H2" s="1382" t="s">
        <v>581</v>
      </c>
      <c r="I2" s="1382"/>
      <c r="J2" s="1382" t="s">
        <v>329</v>
      </c>
      <c r="K2" s="1382"/>
      <c r="L2" s="1382" t="s">
        <v>49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x14ac:dyDescent="0.25">
      <c r="A4" s="62">
        <v>1</v>
      </c>
      <c r="B4" s="63">
        <v>1</v>
      </c>
      <c r="C4" s="792" t="s">
        <v>571</v>
      </c>
      <c r="D4" s="374">
        <v>905.17</v>
      </c>
      <c r="E4" s="374">
        <f>+D4*B4</f>
        <v>905.17</v>
      </c>
      <c r="F4" s="374">
        <v>900</v>
      </c>
      <c r="G4" s="374">
        <f>+F4*B4</f>
        <v>900</v>
      </c>
      <c r="H4" s="374">
        <f>1700*0.9</f>
        <v>1530</v>
      </c>
      <c r="I4" s="374">
        <f t="shared" ref="I4:I10" si="0">+H4*$B4</f>
        <v>1530</v>
      </c>
      <c r="J4" s="374"/>
      <c r="K4" s="374">
        <f>+J4*B4</f>
        <v>0</v>
      </c>
      <c r="L4" s="374"/>
      <c r="M4" s="375">
        <f>+L4*$B4</f>
        <v>0</v>
      </c>
      <c r="N4" s="68"/>
    </row>
    <row r="5" spans="1:15" s="69" customFormat="1" x14ac:dyDescent="0.25">
      <c r="A5" s="70">
        <v>2</v>
      </c>
      <c r="B5" s="192">
        <v>2</v>
      </c>
      <c r="C5" s="777" t="s">
        <v>572</v>
      </c>
      <c r="D5" s="376">
        <f>1517.73/B5</f>
        <v>758.86500000000001</v>
      </c>
      <c r="E5" s="376">
        <f t="shared" ref="E5:E8" si="1">+D5*B5</f>
        <v>1517.73</v>
      </c>
      <c r="F5" s="376">
        <v>1100</v>
      </c>
      <c r="G5" s="376">
        <f>+F5*B5</f>
        <v>2200</v>
      </c>
      <c r="H5" s="376">
        <f>1800*0.9</f>
        <v>1620</v>
      </c>
      <c r="I5" s="376">
        <f t="shared" si="0"/>
        <v>3240</v>
      </c>
      <c r="J5" s="376"/>
      <c r="K5" s="376">
        <f t="shared" ref="K5:K13" si="2">+J5*B5</f>
        <v>0</v>
      </c>
      <c r="L5" s="376"/>
      <c r="M5" s="377">
        <f>+L5*$B5</f>
        <v>0</v>
      </c>
      <c r="N5" s="68"/>
    </row>
    <row r="6" spans="1:15" s="69" customFormat="1" x14ac:dyDescent="0.25">
      <c r="A6" s="70">
        <v>3</v>
      </c>
      <c r="B6" s="192">
        <v>2</v>
      </c>
      <c r="C6" s="777" t="s">
        <v>573</v>
      </c>
      <c r="D6" s="376">
        <v>2166.15</v>
      </c>
      <c r="E6" s="376">
        <f t="shared" si="1"/>
        <v>4332.3</v>
      </c>
      <c r="F6" s="376">
        <v>2200</v>
      </c>
      <c r="G6" s="376">
        <f>+F6*B6</f>
        <v>4400</v>
      </c>
      <c r="H6" s="376">
        <f>4860*0.9</f>
        <v>4374</v>
      </c>
      <c r="I6" s="376">
        <f t="shared" si="0"/>
        <v>8748</v>
      </c>
      <c r="J6" s="376"/>
      <c r="K6" s="376">
        <f t="shared" si="2"/>
        <v>0</v>
      </c>
      <c r="L6" s="376"/>
      <c r="M6" s="377" t="s">
        <v>36</v>
      </c>
      <c r="N6" s="68"/>
    </row>
    <row r="7" spans="1:15" s="69" customFormat="1" x14ac:dyDescent="0.25">
      <c r="A7" s="70">
        <v>4</v>
      </c>
      <c r="B7" s="192">
        <v>2</v>
      </c>
      <c r="C7" s="777" t="s">
        <v>574</v>
      </c>
      <c r="D7" s="376">
        <f>2555.4/B7</f>
        <v>1277.7</v>
      </c>
      <c r="E7" s="376">
        <f t="shared" si="1"/>
        <v>2555.4</v>
      </c>
      <c r="F7" s="376">
        <v>1600</v>
      </c>
      <c r="G7" s="376">
        <f t="shared" ref="G7:G8" si="3">+F7*B7</f>
        <v>3200</v>
      </c>
      <c r="H7" s="376">
        <f>2400*0.9</f>
        <v>2160</v>
      </c>
      <c r="I7" s="376">
        <f t="shared" si="0"/>
        <v>4320</v>
      </c>
      <c r="J7" s="376"/>
      <c r="K7" s="376">
        <f t="shared" si="2"/>
        <v>0</v>
      </c>
      <c r="L7" s="376"/>
      <c r="M7" s="377">
        <f>+L7*$B7</f>
        <v>0</v>
      </c>
      <c r="N7" s="68"/>
      <c r="O7" s="778"/>
    </row>
    <row r="8" spans="1:15" s="69" customFormat="1" x14ac:dyDescent="0.25">
      <c r="A8" s="70">
        <v>5</v>
      </c>
      <c r="B8" s="192">
        <v>2</v>
      </c>
      <c r="C8" s="777" t="s">
        <v>575</v>
      </c>
      <c r="D8" s="376">
        <f>949.58/B8</f>
        <v>474.79</v>
      </c>
      <c r="E8" s="376">
        <f t="shared" si="1"/>
        <v>949.58</v>
      </c>
      <c r="F8" s="376">
        <v>650</v>
      </c>
      <c r="G8" s="376">
        <f t="shared" si="3"/>
        <v>1300</v>
      </c>
      <c r="H8" s="376">
        <f>1100*0.9</f>
        <v>990</v>
      </c>
      <c r="I8" s="376">
        <f t="shared" si="0"/>
        <v>1980</v>
      </c>
      <c r="J8" s="376"/>
      <c r="K8" s="376">
        <f t="shared" si="2"/>
        <v>0</v>
      </c>
      <c r="L8" s="376"/>
      <c r="M8" s="377">
        <f>+L8*$B8</f>
        <v>0</v>
      </c>
      <c r="N8" s="68"/>
    </row>
    <row r="9" spans="1:15" s="69" customFormat="1" x14ac:dyDescent="0.25">
      <c r="A9" s="70">
        <v>6</v>
      </c>
      <c r="B9" s="192">
        <v>2</v>
      </c>
      <c r="C9" s="777" t="s">
        <v>576</v>
      </c>
      <c r="D9" s="376">
        <v>2372.81</v>
      </c>
      <c r="E9" s="376">
        <f>+D9*B9</f>
        <v>4745.62</v>
      </c>
      <c r="F9" s="376">
        <v>1900</v>
      </c>
      <c r="G9" s="376">
        <f>+F9*B9</f>
        <v>3800</v>
      </c>
      <c r="H9" s="376">
        <f>5500*0.9</f>
        <v>4950</v>
      </c>
      <c r="I9" s="376">
        <f t="shared" si="0"/>
        <v>9900</v>
      </c>
      <c r="J9" s="376"/>
      <c r="K9" s="376">
        <f t="shared" si="2"/>
        <v>0</v>
      </c>
      <c r="L9" s="376"/>
      <c r="M9" s="377">
        <f>+L9*$B9</f>
        <v>0</v>
      </c>
      <c r="N9" s="68"/>
    </row>
    <row r="10" spans="1:15" s="69" customFormat="1" x14ac:dyDescent="0.25">
      <c r="A10" s="70">
        <v>7</v>
      </c>
      <c r="B10" s="192">
        <v>2</v>
      </c>
      <c r="C10" s="777" t="s">
        <v>577</v>
      </c>
      <c r="D10" s="376">
        <f>1314.5/B10</f>
        <v>657.25</v>
      </c>
      <c r="E10" s="376">
        <f t="shared" ref="E10:E13" si="4">+D10*B10</f>
        <v>1314.5</v>
      </c>
      <c r="F10" s="376">
        <v>950</v>
      </c>
      <c r="G10" s="376">
        <f t="shared" ref="G10:G13" si="5">+F10*B10</f>
        <v>1900</v>
      </c>
      <c r="H10" s="376">
        <f>1520*0.9</f>
        <v>1368</v>
      </c>
      <c r="I10" s="376">
        <f t="shared" si="0"/>
        <v>2736</v>
      </c>
      <c r="J10" s="376"/>
      <c r="K10" s="376">
        <f t="shared" si="2"/>
        <v>0</v>
      </c>
      <c r="L10" s="376"/>
      <c r="M10" s="377">
        <f>+L10*$B10</f>
        <v>0</v>
      </c>
      <c r="N10" s="68"/>
    </row>
    <row r="11" spans="1:15" s="69" customFormat="1" x14ac:dyDescent="0.25">
      <c r="A11" s="70">
        <v>8</v>
      </c>
      <c r="B11" s="192">
        <v>2</v>
      </c>
      <c r="C11" s="777" t="s">
        <v>578</v>
      </c>
      <c r="D11" s="376">
        <f>1314.5/B11</f>
        <v>657.25</v>
      </c>
      <c r="E11" s="376">
        <f t="shared" si="4"/>
        <v>1314.5</v>
      </c>
      <c r="F11" s="376">
        <v>850</v>
      </c>
      <c r="G11" s="376">
        <f t="shared" si="5"/>
        <v>1700</v>
      </c>
      <c r="H11" s="376">
        <f>1520*0.9</f>
        <v>1368</v>
      </c>
      <c r="I11" s="376">
        <f t="shared" ref="I11:I12" si="6">+H11*$B11</f>
        <v>2736</v>
      </c>
      <c r="J11" s="376"/>
      <c r="K11" s="376">
        <f t="shared" si="2"/>
        <v>0</v>
      </c>
      <c r="L11" s="376"/>
      <c r="M11" s="377">
        <f t="shared" ref="M11:M12" si="7">+L11*$B11</f>
        <v>0</v>
      </c>
      <c r="N11" s="68"/>
    </row>
    <row r="12" spans="1:15" s="69" customFormat="1" x14ac:dyDescent="0.25">
      <c r="A12" s="70">
        <v>9</v>
      </c>
      <c r="B12" s="192">
        <v>1</v>
      </c>
      <c r="C12" s="777" t="s">
        <v>579</v>
      </c>
      <c r="D12" s="376">
        <v>2259.46</v>
      </c>
      <c r="E12" s="376">
        <f t="shared" si="4"/>
        <v>2259.46</v>
      </c>
      <c r="F12" s="376" t="s">
        <v>36</v>
      </c>
      <c r="G12" s="376" t="s">
        <v>36</v>
      </c>
      <c r="H12" s="376">
        <f>4200*0.9</f>
        <v>3780</v>
      </c>
      <c r="I12" s="376">
        <f t="shared" si="6"/>
        <v>3780</v>
      </c>
      <c r="J12" s="376"/>
      <c r="K12" s="376">
        <f t="shared" si="2"/>
        <v>0</v>
      </c>
      <c r="L12" s="376"/>
      <c r="M12" s="377">
        <f t="shared" si="7"/>
        <v>0</v>
      </c>
      <c r="N12" s="68"/>
    </row>
    <row r="13" spans="1:15" s="69" customFormat="1" ht="15.75" thickBot="1" x14ac:dyDescent="0.3">
      <c r="A13" s="802">
        <v>10</v>
      </c>
      <c r="B13" s="192">
        <v>1</v>
      </c>
      <c r="C13" s="777" t="s">
        <v>580</v>
      </c>
      <c r="D13" s="376">
        <v>294.25</v>
      </c>
      <c r="E13" s="376">
        <f t="shared" si="4"/>
        <v>294.25</v>
      </c>
      <c r="F13" s="376">
        <v>250</v>
      </c>
      <c r="G13" s="376">
        <f t="shared" si="5"/>
        <v>250</v>
      </c>
      <c r="H13" s="376">
        <f>550*0.9</f>
        <v>495</v>
      </c>
      <c r="I13" s="376">
        <f>+H13*$B13</f>
        <v>495</v>
      </c>
      <c r="J13" s="376"/>
      <c r="K13" s="376">
        <f t="shared" si="2"/>
        <v>0</v>
      </c>
      <c r="L13" s="376"/>
      <c r="M13" s="377">
        <f>+L13*$B13</f>
        <v>0</v>
      </c>
      <c r="N13" s="68"/>
    </row>
    <row r="14" spans="1:15" s="54" customFormat="1" x14ac:dyDescent="0.25">
      <c r="A14" s="1132" t="s">
        <v>4</v>
      </c>
      <c r="B14" s="1133"/>
      <c r="C14" s="1133"/>
      <c r="D14" s="1378">
        <f>SUM(E4:E13)</f>
        <v>20188.509999999998</v>
      </c>
      <c r="E14" s="1378"/>
      <c r="F14" s="1378">
        <f>SUM(G4:G13)</f>
        <v>19650</v>
      </c>
      <c r="G14" s="1378"/>
      <c r="H14" s="1528">
        <f>SUM(I4:I13)</f>
        <v>39465</v>
      </c>
      <c r="I14" s="1528"/>
      <c r="J14" s="1528">
        <f>SUM(K4:K13)</f>
        <v>0</v>
      </c>
      <c r="K14" s="1528"/>
      <c r="L14" s="1378">
        <f>SUM(M4:M13)</f>
        <v>0</v>
      </c>
      <c r="M14" s="1379"/>
    </row>
    <row r="15" spans="1:15" s="54" customFormat="1" x14ac:dyDescent="0.25">
      <c r="A15" s="1123" t="s">
        <v>5</v>
      </c>
      <c r="B15" s="1124"/>
      <c r="C15" s="1124"/>
      <c r="D15" s="1374">
        <v>0</v>
      </c>
      <c r="E15" s="1374"/>
      <c r="F15" s="1374">
        <v>0</v>
      </c>
      <c r="G15" s="1374"/>
      <c r="H15" s="1376">
        <v>0.1</v>
      </c>
      <c r="I15" s="1376"/>
      <c r="J15" s="1374"/>
      <c r="K15" s="1374"/>
      <c r="L15" s="1374"/>
      <c r="M15" s="1375"/>
    </row>
    <row r="16" spans="1:15" s="54" customFormat="1" x14ac:dyDescent="0.25">
      <c r="A16" s="1123" t="s">
        <v>2</v>
      </c>
      <c r="B16" s="1124"/>
      <c r="C16" s="1124"/>
      <c r="D16" s="1374">
        <f>+D14*0.15</f>
        <v>3028.2764999999995</v>
      </c>
      <c r="E16" s="1374"/>
      <c r="F16" s="1374">
        <v>0</v>
      </c>
      <c r="G16" s="1374"/>
      <c r="H16" s="1374">
        <v>0</v>
      </c>
      <c r="I16" s="1374"/>
      <c r="J16" s="1374">
        <v>0</v>
      </c>
      <c r="K16" s="1374"/>
      <c r="L16" s="1374">
        <v>0</v>
      </c>
      <c r="M16" s="1375"/>
    </row>
    <row r="17" spans="1:13" s="54" customFormat="1" ht="15.75" thickBot="1" x14ac:dyDescent="0.3">
      <c r="A17" s="1109" t="s">
        <v>3</v>
      </c>
      <c r="B17" s="1110"/>
      <c r="C17" s="1110"/>
      <c r="D17" s="1372">
        <f>(D14)+D16</f>
        <v>23216.786499999998</v>
      </c>
      <c r="E17" s="1372"/>
      <c r="F17" s="1372">
        <f>(F14)+F16</f>
        <v>19650</v>
      </c>
      <c r="G17" s="1372"/>
      <c r="H17" s="1372">
        <f t="shared" ref="H17:J17" si="8">(H14)+H16</f>
        <v>39465</v>
      </c>
      <c r="I17" s="1372"/>
      <c r="J17" s="1372">
        <f t="shared" si="8"/>
        <v>0</v>
      </c>
      <c r="K17" s="1372"/>
      <c r="L17" s="1372">
        <f t="shared" ref="L17" si="9">(L14)+L16</f>
        <v>0</v>
      </c>
      <c r="M17" s="1373"/>
    </row>
    <row r="19" spans="1:13" s="54" customFormat="1" x14ac:dyDescent="0.25">
      <c r="A19" s="53"/>
      <c r="B19" s="53"/>
      <c r="C19" s="53"/>
      <c r="D19" s="53"/>
      <c r="E19" s="72"/>
      <c r="F19" s="72"/>
      <c r="G19" s="72"/>
      <c r="H19" s="53"/>
      <c r="I19" s="72"/>
      <c r="J19" s="72"/>
      <c r="K19" s="72"/>
      <c r="L19" s="53"/>
      <c r="M19" s="72"/>
    </row>
    <row r="21" spans="1:13" x14ac:dyDescent="0.25">
      <c r="G21" s="413"/>
    </row>
  </sheetData>
  <mergeCells count="31">
    <mergeCell ref="J15:K15"/>
    <mergeCell ref="L15:M15"/>
    <mergeCell ref="L17:M17"/>
    <mergeCell ref="A16:C16"/>
    <mergeCell ref="D16:E16"/>
    <mergeCell ref="F16:G16"/>
    <mergeCell ref="H16:I16"/>
    <mergeCell ref="J16:K16"/>
    <mergeCell ref="L16:M16"/>
    <mergeCell ref="A17:C17"/>
    <mergeCell ref="D17:E17"/>
    <mergeCell ref="F17:G17"/>
    <mergeCell ref="H17:I17"/>
    <mergeCell ref="J17:K17"/>
    <mergeCell ref="A15:C15"/>
    <mergeCell ref="D15:E15"/>
    <mergeCell ref="F15:G15"/>
    <mergeCell ref="L14:M14"/>
    <mergeCell ref="A1:M1"/>
    <mergeCell ref="A2:A3"/>
    <mergeCell ref="D2:E2"/>
    <mergeCell ref="F2:G2"/>
    <mergeCell ref="H2:I2"/>
    <mergeCell ref="J2:K2"/>
    <mergeCell ref="L2:M2"/>
    <mergeCell ref="A14:C14"/>
    <mergeCell ref="D14:E14"/>
    <mergeCell ref="F14:G14"/>
    <mergeCell ref="H14:I14"/>
    <mergeCell ref="J14:K14"/>
    <mergeCell ref="H15:I15"/>
  </mergeCells>
  <conditionalFormatting sqref="E4:E13 M4:M13 G5:G13 I4:I13">
    <cfRule type="expression" dxfId="154" priority="5">
      <formula>D4=""</formula>
    </cfRule>
  </conditionalFormatting>
  <conditionalFormatting sqref="E4:E13 K4:K13 M4:M13 G4:G13 I4:I13">
    <cfRule type="expression" dxfId="153" priority="6">
      <formula>D4=MIN($D4,$F4,$H4,$J4,$L4)</formula>
    </cfRule>
  </conditionalFormatting>
  <conditionalFormatting sqref="G4">
    <cfRule type="expression" dxfId="152" priority="3">
      <formula>F4=""</formula>
    </cfRule>
  </conditionalFormatting>
  <conditionalFormatting sqref="G4">
    <cfRule type="expression" dxfId="151" priority="4">
      <formula>F4=MIN($D4,$F4,$H4,$L4)</formula>
    </cfRule>
  </conditionalFormatting>
  <conditionalFormatting sqref="K4:K13">
    <cfRule type="expression" dxfId="150" priority="1">
      <formula>J4=""</formula>
    </cfRule>
  </conditionalFormatting>
  <conditionalFormatting sqref="K4:K13">
    <cfRule type="expression" dxfId="149" priority="2">
      <formula>J4=MIN($D4,$F4,$H4,$L4)</formula>
    </cfRule>
  </conditionalFormatting>
  <pageMargins left="0.25" right="0.25" top="0.75" bottom="0.75" header="0.3" footer="0.3"/>
  <pageSetup orientation="landscape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A67AC-AC5B-42F3-A58A-3570A8C495FB}">
  <sheetPr codeName="Hoja103"/>
  <dimension ref="A2:H15"/>
  <sheetViews>
    <sheetView showGridLines="0" workbookViewId="0">
      <selection activeCell="C6" sqref="C6"/>
    </sheetView>
  </sheetViews>
  <sheetFormatPr baseColWidth="10" defaultRowHeight="18.75" x14ac:dyDescent="0.3"/>
  <cols>
    <col min="1" max="1" width="3.5703125" style="518" bestFit="1" customWidth="1"/>
    <col min="2" max="2" width="7.5703125" style="518" bestFit="1" customWidth="1"/>
    <col min="3" max="3" width="23" style="518" bestFit="1" customWidth="1"/>
    <col min="4" max="7" width="15.85546875" style="518" bestFit="1" customWidth="1"/>
    <col min="8" max="8" width="13.42578125" style="519" bestFit="1" customWidth="1"/>
    <col min="9" max="9" width="13.42578125" style="518" bestFit="1" customWidth="1"/>
    <col min="10" max="16384" width="11.42578125" style="518"/>
  </cols>
  <sheetData>
    <row r="2" spans="1:8" ht="19.5" thickBot="1" x14ac:dyDescent="0.35"/>
    <row r="3" spans="1:8" s="521" customFormat="1" ht="19.5" thickBot="1" x14ac:dyDescent="0.35">
      <c r="A3" s="1554" t="s">
        <v>1</v>
      </c>
      <c r="B3" s="1555"/>
      <c r="C3" s="1555"/>
      <c r="D3" s="1556"/>
      <c r="E3" s="1556"/>
      <c r="F3" s="1556"/>
      <c r="G3" s="1557"/>
      <c r="H3" s="520"/>
    </row>
    <row r="4" spans="1:8" s="521" customFormat="1" ht="19.5" thickBot="1" x14ac:dyDescent="0.3">
      <c r="A4" s="1558" t="s">
        <v>6</v>
      </c>
      <c r="B4" s="651" t="s">
        <v>17</v>
      </c>
      <c r="C4" s="652" t="s">
        <v>582</v>
      </c>
      <c r="D4" s="1559" t="s">
        <v>84</v>
      </c>
      <c r="E4" s="1560"/>
      <c r="F4" s="1561" t="s">
        <v>86</v>
      </c>
      <c r="G4" s="1560"/>
      <c r="H4" s="520"/>
    </row>
    <row r="5" spans="1:8" s="521" customFormat="1" ht="19.5" thickBot="1" x14ac:dyDescent="0.3">
      <c r="A5" s="1479"/>
      <c r="B5" s="654" t="s">
        <v>11</v>
      </c>
      <c r="C5" s="655" t="s">
        <v>0</v>
      </c>
      <c r="D5" s="784" t="s">
        <v>14</v>
      </c>
      <c r="E5" s="819" t="s">
        <v>10</v>
      </c>
      <c r="F5" s="784" t="s">
        <v>14</v>
      </c>
      <c r="G5" s="818" t="s">
        <v>10</v>
      </c>
      <c r="H5" s="520"/>
    </row>
    <row r="6" spans="1:8" s="523" customFormat="1" x14ac:dyDescent="0.3">
      <c r="A6" s="785">
        <v>1</v>
      </c>
      <c r="B6" s="786">
        <v>1</v>
      </c>
      <c r="C6" s="787" t="s">
        <v>583</v>
      </c>
      <c r="D6" s="788">
        <f>72.5*TC!C3</f>
        <v>2587.873</v>
      </c>
      <c r="E6" s="790">
        <f>+D6*B6</f>
        <v>2587.873</v>
      </c>
      <c r="F6" s="788">
        <v>3612</v>
      </c>
      <c r="G6" s="820">
        <f>+F6*B6</f>
        <v>3612</v>
      </c>
      <c r="H6" s="522"/>
    </row>
    <row r="7" spans="1:8" s="523" customFormat="1" x14ac:dyDescent="0.3">
      <c r="A7" s="785">
        <v>2</v>
      </c>
      <c r="B7" s="786">
        <v>5000</v>
      </c>
      <c r="C7" s="787" t="s">
        <v>584</v>
      </c>
      <c r="D7" s="788">
        <f>(60/B7)*TC!C3</f>
        <v>0.42833760000000004</v>
      </c>
      <c r="E7" s="790">
        <f t="shared" ref="E7:E8" si="0">+D7*B7</f>
        <v>2141.6880000000001</v>
      </c>
      <c r="F7" s="788">
        <f>2750/B7</f>
        <v>0.55000000000000004</v>
      </c>
      <c r="G7" s="820">
        <f t="shared" ref="G7:G8" si="1">+F7*B7</f>
        <v>2750</v>
      </c>
      <c r="H7" s="522"/>
    </row>
    <row r="8" spans="1:8" s="523" customFormat="1" ht="19.5" thickBot="1" x14ac:dyDescent="0.35">
      <c r="A8" s="785">
        <v>3</v>
      </c>
      <c r="B8" s="786">
        <v>5000</v>
      </c>
      <c r="C8" s="787" t="s">
        <v>585</v>
      </c>
      <c r="D8" s="788">
        <f>(114/B8)*TC!C3</f>
        <v>0.81384144000000003</v>
      </c>
      <c r="E8" s="820">
        <f t="shared" si="0"/>
        <v>4069.2072000000003</v>
      </c>
      <c r="F8" s="788">
        <f>3500/B8</f>
        <v>0.7</v>
      </c>
      <c r="G8" s="790">
        <f t="shared" si="1"/>
        <v>3500</v>
      </c>
      <c r="H8" s="522"/>
    </row>
    <row r="9" spans="1:8" x14ac:dyDescent="0.3">
      <c r="A9" s="1562" t="s">
        <v>4</v>
      </c>
      <c r="B9" s="1563"/>
      <c r="C9" s="1564"/>
      <c r="D9" s="1565">
        <f>SUM(E6:E8)</f>
        <v>8798.7682000000004</v>
      </c>
      <c r="E9" s="1566"/>
      <c r="F9" s="1565">
        <f>SUM(G6:G8)</f>
        <v>9862</v>
      </c>
      <c r="G9" s="1567"/>
    </row>
    <row r="10" spans="1:8" x14ac:dyDescent="0.3">
      <c r="A10" s="1547" t="s">
        <v>87</v>
      </c>
      <c r="B10" s="1548"/>
      <c r="C10" s="1549"/>
      <c r="D10" s="1550">
        <v>0</v>
      </c>
      <c r="E10" s="1551"/>
      <c r="F10" s="1550">
        <f>+F9*0.05</f>
        <v>493.1</v>
      </c>
      <c r="G10" s="1552"/>
    </row>
    <row r="11" spans="1:8" x14ac:dyDescent="0.3">
      <c r="A11" s="1441" t="s">
        <v>2</v>
      </c>
      <c r="B11" s="1442"/>
      <c r="C11" s="1553"/>
      <c r="D11" s="1550">
        <f>(D9-D10)*15%</f>
        <v>1319.8152299999999</v>
      </c>
      <c r="E11" s="1551"/>
      <c r="F11" s="1550">
        <f>(F9+F10)*15%</f>
        <v>1553.2650000000001</v>
      </c>
      <c r="G11" s="1552"/>
    </row>
    <row r="12" spans="1:8" ht="19.5" thickBot="1" x14ac:dyDescent="0.35">
      <c r="A12" s="1439" t="s">
        <v>3</v>
      </c>
      <c r="B12" s="1440"/>
      <c r="C12" s="1542"/>
      <c r="D12" s="1543">
        <f>(D9-D10)+D11</f>
        <v>10118.583430000001</v>
      </c>
      <c r="E12" s="1544"/>
      <c r="F12" s="1543">
        <f>(F9+F10)+F11</f>
        <v>11908.365</v>
      </c>
      <c r="G12" s="1545"/>
    </row>
    <row r="14" spans="1:8" x14ac:dyDescent="0.3">
      <c r="D14" s="1546"/>
      <c r="E14" s="1546"/>
      <c r="G14" s="524"/>
    </row>
    <row r="15" spans="1:8" x14ac:dyDescent="0.3">
      <c r="E15" s="524"/>
    </row>
  </sheetData>
  <mergeCells count="17">
    <mergeCell ref="A3:G3"/>
    <mergeCell ref="A4:A5"/>
    <mergeCell ref="D4:E4"/>
    <mergeCell ref="F4:G4"/>
    <mergeCell ref="A9:C9"/>
    <mergeCell ref="D9:E9"/>
    <mergeCell ref="F9:G9"/>
    <mergeCell ref="A12:C12"/>
    <mergeCell ref="D12:E12"/>
    <mergeCell ref="F12:G12"/>
    <mergeCell ref="D14:E14"/>
    <mergeCell ref="A10:C10"/>
    <mergeCell ref="D10:E10"/>
    <mergeCell ref="F10:G10"/>
    <mergeCell ref="A11:C11"/>
    <mergeCell ref="D11:E11"/>
    <mergeCell ref="F11:G11"/>
  </mergeCells>
  <pageMargins left="0.25" right="0.25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60D18-1422-401D-A4BA-81F6F7C55C21}">
  <sheetPr codeName="Hoja104"/>
  <dimension ref="A1:J16"/>
  <sheetViews>
    <sheetView showGridLines="0" workbookViewId="0">
      <selection activeCell="E3" sqref="E3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26.5703125" style="53" bestFit="1" customWidth="1"/>
    <col min="4" max="8" width="12.7109375" style="53" bestFit="1" customWidth="1"/>
    <col min="9" max="9" width="13.42578125" style="54" bestFit="1" customWidth="1"/>
    <col min="10" max="10" width="13.42578125" style="53" bestFit="1" customWidth="1"/>
    <col min="11" max="16384" width="11.42578125" style="53"/>
  </cols>
  <sheetData>
    <row r="1" spans="1:10" ht="15.75" thickBot="1" x14ac:dyDescent="0.3"/>
    <row r="2" spans="1:10" ht="15.75" thickBot="1" x14ac:dyDescent="0.3">
      <c r="A2" s="1115" t="s">
        <v>1</v>
      </c>
      <c r="B2" s="1128"/>
      <c r="C2" s="1128"/>
      <c r="D2" s="1128"/>
      <c r="E2" s="1128"/>
      <c r="F2" s="1128"/>
      <c r="G2" s="1128"/>
      <c r="H2" s="1116"/>
    </row>
    <row r="3" spans="1:10" x14ac:dyDescent="0.25">
      <c r="A3" s="1380" t="s">
        <v>6</v>
      </c>
      <c r="B3" s="825" t="s">
        <v>17</v>
      </c>
      <c r="C3" s="826" t="s">
        <v>586</v>
      </c>
      <c r="D3" s="822" t="s">
        <v>436</v>
      </c>
      <c r="E3" s="822" t="s">
        <v>566</v>
      </c>
      <c r="F3" s="822" t="s">
        <v>438</v>
      </c>
      <c r="G3" s="822" t="s">
        <v>592</v>
      </c>
      <c r="H3" s="823" t="s">
        <v>593</v>
      </c>
    </row>
    <row r="4" spans="1:10" ht="15.75" thickBot="1" x14ac:dyDescent="0.3">
      <c r="A4" s="1381"/>
      <c r="B4" s="371" t="s">
        <v>11</v>
      </c>
      <c r="C4" s="372" t="s">
        <v>0</v>
      </c>
      <c r="D4" s="372" t="s">
        <v>10</v>
      </c>
      <c r="E4" s="372" t="s">
        <v>10</v>
      </c>
      <c r="F4" s="372" t="s">
        <v>10</v>
      </c>
      <c r="G4" s="372" t="s">
        <v>10</v>
      </c>
      <c r="H4" s="373" t="s">
        <v>10</v>
      </c>
    </row>
    <row r="5" spans="1:10" s="69" customFormat="1" x14ac:dyDescent="0.25">
      <c r="A5" s="62">
        <v>1</v>
      </c>
      <c r="B5" s="63">
        <v>200</v>
      </c>
      <c r="C5" s="792" t="s">
        <v>587</v>
      </c>
      <c r="D5" s="374">
        <v>5800</v>
      </c>
      <c r="E5" s="374">
        <v>3000</v>
      </c>
      <c r="F5" s="374">
        <v>4915</v>
      </c>
      <c r="G5" s="374">
        <v>4400</v>
      </c>
      <c r="H5" s="375">
        <v>4600</v>
      </c>
      <c r="I5" s="68"/>
    </row>
    <row r="6" spans="1:10" s="69" customFormat="1" x14ac:dyDescent="0.25">
      <c r="A6" s="70">
        <v>2</v>
      </c>
      <c r="B6" s="192">
        <v>30</v>
      </c>
      <c r="C6" s="777" t="s">
        <v>588</v>
      </c>
      <c r="D6" s="374">
        <v>4200</v>
      </c>
      <c r="E6" s="374">
        <v>4000</v>
      </c>
      <c r="F6" s="374">
        <v>4025</v>
      </c>
      <c r="G6" s="374">
        <v>3830.1</v>
      </c>
      <c r="H6" s="375">
        <v>3660</v>
      </c>
      <c r="I6" s="68"/>
    </row>
    <row r="7" spans="1:10" s="69" customFormat="1" x14ac:dyDescent="0.25">
      <c r="A7" s="70">
        <v>3</v>
      </c>
      <c r="B7" s="192">
        <v>30</v>
      </c>
      <c r="C7" s="777" t="s">
        <v>589</v>
      </c>
      <c r="D7" s="374">
        <v>4200</v>
      </c>
      <c r="E7" s="374">
        <v>4000</v>
      </c>
      <c r="F7" s="374">
        <v>4025</v>
      </c>
      <c r="G7" s="374">
        <v>3830.1</v>
      </c>
      <c r="H7" s="375">
        <v>3660</v>
      </c>
      <c r="I7" s="68"/>
    </row>
    <row r="8" spans="1:10" s="69" customFormat="1" x14ac:dyDescent="0.25">
      <c r="A8" s="70">
        <v>4</v>
      </c>
      <c r="B8" s="192">
        <v>500</v>
      </c>
      <c r="C8" s="777" t="s">
        <v>590</v>
      </c>
      <c r="D8" s="374">
        <v>2500</v>
      </c>
      <c r="E8" s="374">
        <v>1400</v>
      </c>
      <c r="F8" s="374">
        <v>1950</v>
      </c>
      <c r="G8" s="374" t="s">
        <v>36</v>
      </c>
      <c r="H8" s="375">
        <v>1875</v>
      </c>
      <c r="I8" s="68"/>
      <c r="J8" s="778"/>
    </row>
    <row r="9" spans="1:10" s="69" customFormat="1" ht="15.75" thickBot="1" x14ac:dyDescent="0.3">
      <c r="A9" s="821">
        <v>5</v>
      </c>
      <c r="B9" s="192">
        <v>10</v>
      </c>
      <c r="C9" s="777" t="s">
        <v>591</v>
      </c>
      <c r="D9" s="374">
        <v>1800</v>
      </c>
      <c r="E9" s="374">
        <v>1400</v>
      </c>
      <c r="F9" s="374">
        <v>1950</v>
      </c>
      <c r="G9" s="374" t="s">
        <v>36</v>
      </c>
      <c r="H9" s="375">
        <v>1350</v>
      </c>
      <c r="I9" s="68"/>
    </row>
    <row r="10" spans="1:10" s="54" customFormat="1" x14ac:dyDescent="0.25">
      <c r="A10" s="1132" t="s">
        <v>4</v>
      </c>
      <c r="B10" s="1133"/>
      <c r="C10" s="1133"/>
      <c r="D10" s="827">
        <f>SUM(D5:D9)</f>
        <v>18500</v>
      </c>
      <c r="E10" s="827">
        <f t="shared" ref="E10:H10" si="0">SUM(E5:E9)</f>
        <v>13800</v>
      </c>
      <c r="F10" s="827">
        <f t="shared" si="0"/>
        <v>16865</v>
      </c>
      <c r="G10" s="827">
        <f t="shared" si="0"/>
        <v>12060.2</v>
      </c>
      <c r="H10" s="828">
        <f t="shared" si="0"/>
        <v>15145</v>
      </c>
    </row>
    <row r="11" spans="1:10" s="54" customFormat="1" x14ac:dyDescent="0.25">
      <c r="A11" s="1123" t="s">
        <v>2</v>
      </c>
      <c r="B11" s="1124"/>
      <c r="C11" s="1124"/>
      <c r="D11" s="829">
        <f>+D10*0.15</f>
        <v>2775</v>
      </c>
      <c r="E11" s="829">
        <f t="shared" ref="E11:H11" si="1">+E10*0.15</f>
        <v>2070</v>
      </c>
      <c r="F11" s="829">
        <f t="shared" si="1"/>
        <v>2529.75</v>
      </c>
      <c r="G11" s="829">
        <v>0</v>
      </c>
      <c r="H11" s="830">
        <f t="shared" si="1"/>
        <v>2271.75</v>
      </c>
    </row>
    <row r="12" spans="1:10" s="54" customFormat="1" ht="15.75" thickBot="1" x14ac:dyDescent="0.3">
      <c r="A12" s="1109" t="s">
        <v>3</v>
      </c>
      <c r="B12" s="1110"/>
      <c r="C12" s="1110"/>
      <c r="D12" s="831">
        <f>(D10)+D11</f>
        <v>21275</v>
      </c>
      <c r="E12" s="831">
        <f t="shared" ref="E12:H12" si="2">(E10)+E11</f>
        <v>15870</v>
      </c>
      <c r="F12" s="831">
        <f t="shared" si="2"/>
        <v>19394.75</v>
      </c>
      <c r="G12" s="831">
        <f t="shared" si="2"/>
        <v>12060.2</v>
      </c>
      <c r="H12" s="832">
        <f t="shared" si="2"/>
        <v>17416.75</v>
      </c>
    </row>
    <row r="14" spans="1:10" s="54" customFormat="1" x14ac:dyDescent="0.25">
      <c r="A14" s="53"/>
      <c r="B14" s="53"/>
      <c r="C14" s="53"/>
      <c r="D14" s="53"/>
      <c r="E14" s="72"/>
      <c r="F14" s="72"/>
      <c r="G14" s="72"/>
      <c r="H14" s="53"/>
    </row>
    <row r="16" spans="1:10" x14ac:dyDescent="0.25">
      <c r="G16" s="413"/>
    </row>
  </sheetData>
  <mergeCells count="5">
    <mergeCell ref="A12:C12"/>
    <mergeCell ref="A11:C11"/>
    <mergeCell ref="A10:C10"/>
    <mergeCell ref="A2:H2"/>
    <mergeCell ref="A3:A4"/>
  </mergeCells>
  <conditionalFormatting sqref="D5">
    <cfRule type="cellIs" dxfId="148" priority="13" operator="equal">
      <formula>MIN($D5:$H5)</formula>
    </cfRule>
  </conditionalFormatting>
  <conditionalFormatting sqref="E5:H5">
    <cfRule type="cellIs" dxfId="147" priority="9" operator="equal">
      <formula>MIN($D5:$H5)</formula>
    </cfRule>
  </conditionalFormatting>
  <conditionalFormatting sqref="D6">
    <cfRule type="cellIs" dxfId="146" priority="8" operator="equal">
      <formula>MIN($D6:$H6)</formula>
    </cfRule>
  </conditionalFormatting>
  <conditionalFormatting sqref="E6:H6">
    <cfRule type="cellIs" dxfId="145" priority="7" operator="equal">
      <formula>MIN($D6:$H6)</formula>
    </cfRule>
  </conditionalFormatting>
  <conditionalFormatting sqref="D7">
    <cfRule type="cellIs" dxfId="144" priority="6" operator="equal">
      <formula>MIN($D7:$H7)</formula>
    </cfRule>
  </conditionalFormatting>
  <conditionalFormatting sqref="E7:H7">
    <cfRule type="cellIs" dxfId="143" priority="5" operator="equal">
      <formula>MIN($D7:$H7)</formula>
    </cfRule>
  </conditionalFormatting>
  <conditionalFormatting sqref="D8">
    <cfRule type="cellIs" dxfId="142" priority="4" operator="equal">
      <formula>MIN($D8:$H8)</formula>
    </cfRule>
  </conditionalFormatting>
  <conditionalFormatting sqref="E8:H8">
    <cfRule type="cellIs" dxfId="141" priority="3" operator="equal">
      <formula>MIN($D8:$H8)</formula>
    </cfRule>
  </conditionalFormatting>
  <conditionalFormatting sqref="D9">
    <cfRule type="cellIs" dxfId="140" priority="2" operator="equal">
      <formula>MIN($D9:$H9)</formula>
    </cfRule>
  </conditionalFormatting>
  <conditionalFormatting sqref="E9:H9">
    <cfRule type="cellIs" dxfId="139" priority="1" operator="equal">
      <formula>MIN($D9:$H9)</formula>
    </cfRule>
  </conditionalFormatting>
  <pageMargins left="0.25" right="0.25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2FE6A-F67E-4050-B05F-532315F50DEF}">
  <sheetPr codeName="Hoja105"/>
  <dimension ref="A1:O14"/>
  <sheetViews>
    <sheetView showGridLines="0" workbookViewId="0">
      <selection sqref="A1:M1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6.42578125" style="53" bestFit="1" customWidth="1"/>
    <col min="4" max="4" width="9.140625" style="53" bestFit="1" customWidth="1"/>
    <col min="5" max="5" width="11.7109375" style="53" bestFit="1" customWidth="1"/>
    <col min="6" max="6" width="9.140625" style="53" bestFit="1" customWidth="1"/>
    <col min="7" max="7" width="10.140625" style="53" bestFit="1" customWidth="1"/>
    <col min="8" max="8" width="9.140625" style="53" bestFit="1" customWidth="1"/>
    <col min="9" max="9" width="10.140625" style="53" bestFit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594</v>
      </c>
      <c r="D2" s="1382" t="s">
        <v>598</v>
      </c>
      <c r="E2" s="1382"/>
      <c r="F2" s="1382" t="s">
        <v>67</v>
      </c>
      <c r="G2" s="1382"/>
      <c r="H2" s="1382" t="s">
        <v>333</v>
      </c>
      <c r="I2" s="1382"/>
      <c r="J2" s="1382" t="s">
        <v>329</v>
      </c>
      <c r="K2" s="1382"/>
      <c r="L2" s="1382" t="s">
        <v>49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x14ac:dyDescent="0.25">
      <c r="A4" s="62">
        <v>1</v>
      </c>
      <c r="B4" s="63">
        <v>200</v>
      </c>
      <c r="C4" s="792" t="s">
        <v>595</v>
      </c>
      <c r="D4" s="374">
        <f>(28.86/B4)*35.57</f>
        <v>5.1327509999999998</v>
      </c>
      <c r="E4" s="374">
        <f>+D4*B4</f>
        <v>1026.5501999999999</v>
      </c>
      <c r="F4" s="374">
        <f>203.7/B4</f>
        <v>1.0185</v>
      </c>
      <c r="G4" s="374">
        <f>+F4*B4</f>
        <v>203.7</v>
      </c>
      <c r="H4" s="374">
        <f>318.64/B4</f>
        <v>1.5931999999999999</v>
      </c>
      <c r="I4" s="374">
        <f t="shared" ref="I4:I6" si="0">+H4*$B4</f>
        <v>318.64</v>
      </c>
      <c r="J4" s="374"/>
      <c r="K4" s="374">
        <f>+J4*B4</f>
        <v>0</v>
      </c>
      <c r="L4" s="374"/>
      <c r="M4" s="375">
        <f>+L4*$B4</f>
        <v>0</v>
      </c>
      <c r="N4" s="68"/>
    </row>
    <row r="5" spans="1:15" s="69" customFormat="1" x14ac:dyDescent="0.25">
      <c r="A5" s="70">
        <v>2</v>
      </c>
      <c r="B5" s="192">
        <v>20</v>
      </c>
      <c r="C5" s="777" t="s">
        <v>596</v>
      </c>
      <c r="D5" s="376">
        <f>0.174*35.57</f>
        <v>6.1891799999999995</v>
      </c>
      <c r="E5" s="376">
        <f t="shared" ref="E5:E6" si="1">+D5*B5</f>
        <v>123.78359999999999</v>
      </c>
      <c r="F5" s="376">
        <v>3.62</v>
      </c>
      <c r="G5" s="376">
        <f>+F5*B5</f>
        <v>72.400000000000006</v>
      </c>
      <c r="H5" s="376">
        <v>7.07</v>
      </c>
      <c r="I5" s="376">
        <f t="shared" si="0"/>
        <v>141.4</v>
      </c>
      <c r="J5" s="376"/>
      <c r="K5" s="376">
        <f t="shared" ref="K5:K6" si="2">+J5*B5</f>
        <v>0</v>
      </c>
      <c r="L5" s="376"/>
      <c r="M5" s="377">
        <f>+L5*$B5</f>
        <v>0</v>
      </c>
      <c r="N5" s="68"/>
    </row>
    <row r="6" spans="1:15" s="69" customFormat="1" ht="15.75" thickBot="1" x14ac:dyDescent="0.3">
      <c r="A6" s="70">
        <v>3</v>
      </c>
      <c r="B6" s="192">
        <v>12</v>
      </c>
      <c r="C6" s="777" t="s">
        <v>597</v>
      </c>
      <c r="D6" s="376">
        <f>1.1725*35.57</f>
        <v>41.705825000000004</v>
      </c>
      <c r="E6" s="376">
        <f t="shared" si="1"/>
        <v>500.46990000000005</v>
      </c>
      <c r="F6" s="376">
        <v>46.093499999999999</v>
      </c>
      <c r="G6" s="376">
        <f>+F6*B6</f>
        <v>553.12199999999996</v>
      </c>
      <c r="H6" s="376">
        <f>208.8/B6</f>
        <v>17.400000000000002</v>
      </c>
      <c r="I6" s="376">
        <f t="shared" si="0"/>
        <v>208.8</v>
      </c>
      <c r="J6" s="376"/>
      <c r="K6" s="376">
        <f t="shared" si="2"/>
        <v>0</v>
      </c>
      <c r="L6" s="376"/>
      <c r="M6" s="377" t="s">
        <v>36</v>
      </c>
      <c r="N6" s="68"/>
    </row>
    <row r="7" spans="1:15" s="54" customFormat="1" x14ac:dyDescent="0.25">
      <c r="A7" s="1132" t="s">
        <v>4</v>
      </c>
      <c r="B7" s="1133"/>
      <c r="C7" s="1133"/>
      <c r="D7" s="1378">
        <f>SUM(E4:E6)</f>
        <v>1650.8036999999999</v>
      </c>
      <c r="E7" s="1378"/>
      <c r="F7" s="1378">
        <f>SUM(G4:G6)</f>
        <v>829.22199999999998</v>
      </c>
      <c r="G7" s="1378"/>
      <c r="H7" s="1528">
        <f>SUM(I4:I6)</f>
        <v>668.83999999999992</v>
      </c>
      <c r="I7" s="1528"/>
      <c r="J7" s="1528">
        <f>SUM(K4:K6)</f>
        <v>0</v>
      </c>
      <c r="K7" s="1528"/>
      <c r="L7" s="1378">
        <f>SUM(M4:M6)</f>
        <v>0</v>
      </c>
      <c r="M7" s="1379"/>
    </row>
    <row r="8" spans="1:15" s="54" customFormat="1" x14ac:dyDescent="0.25">
      <c r="A8" s="1123" t="s">
        <v>5</v>
      </c>
      <c r="B8" s="1124"/>
      <c r="C8" s="1124"/>
      <c r="D8" s="1374">
        <v>0</v>
      </c>
      <c r="E8" s="1374"/>
      <c r="F8" s="1374">
        <v>0</v>
      </c>
      <c r="G8" s="1374"/>
      <c r="H8" s="1376">
        <v>0.1</v>
      </c>
      <c r="I8" s="1376"/>
      <c r="J8" s="1374"/>
      <c r="K8" s="1374"/>
      <c r="L8" s="1374"/>
      <c r="M8" s="1375"/>
    </row>
    <row r="9" spans="1:15" s="54" customFormat="1" x14ac:dyDescent="0.25">
      <c r="A9" s="1123" t="s">
        <v>2</v>
      </c>
      <c r="B9" s="1124"/>
      <c r="C9" s="1124"/>
      <c r="D9" s="1374">
        <f>+D7*0.15</f>
        <v>247.62055499999997</v>
      </c>
      <c r="E9" s="1374"/>
      <c r="F9" s="1374">
        <f>+F7*0.15</f>
        <v>124.38329999999999</v>
      </c>
      <c r="G9" s="1374"/>
      <c r="H9" s="1374">
        <v>100.33</v>
      </c>
      <c r="I9" s="1374"/>
      <c r="J9" s="1374">
        <v>0</v>
      </c>
      <c r="K9" s="1374"/>
      <c r="L9" s="1374">
        <v>0</v>
      </c>
      <c r="M9" s="1375"/>
    </row>
    <row r="10" spans="1:15" s="54" customFormat="1" ht="15.75" thickBot="1" x14ac:dyDescent="0.3">
      <c r="A10" s="1109" t="s">
        <v>3</v>
      </c>
      <c r="B10" s="1110"/>
      <c r="C10" s="1110"/>
      <c r="D10" s="1372">
        <f>(D7)+D9</f>
        <v>1898.4242549999999</v>
      </c>
      <c r="E10" s="1372"/>
      <c r="F10" s="1372">
        <f>(F7)+F9</f>
        <v>953.60529999999994</v>
      </c>
      <c r="G10" s="1372"/>
      <c r="H10" s="1372">
        <f t="shared" ref="H10:J10" si="3">(H7)+H9</f>
        <v>769.17</v>
      </c>
      <c r="I10" s="1372"/>
      <c r="J10" s="1372">
        <f t="shared" si="3"/>
        <v>0</v>
      </c>
      <c r="K10" s="1372"/>
      <c r="L10" s="1372">
        <f t="shared" ref="L10" si="4">(L7)+L9</f>
        <v>0</v>
      </c>
      <c r="M10" s="1373"/>
    </row>
    <row r="12" spans="1:15" s="54" customFormat="1" x14ac:dyDescent="0.25">
      <c r="A12" s="53"/>
      <c r="B12" s="53"/>
      <c r="C12" s="53"/>
      <c r="D12" s="53"/>
      <c r="E12" s="72"/>
      <c r="F12" s="72"/>
      <c r="G12" s="72"/>
      <c r="H12" s="53"/>
      <c r="I12" s="72"/>
      <c r="J12" s="72"/>
      <c r="K12" s="72"/>
      <c r="L12" s="53"/>
      <c r="M12" s="72"/>
    </row>
    <row r="14" spans="1:15" s="54" customFormat="1" x14ac:dyDescent="0.25">
      <c r="A14" s="53"/>
      <c r="B14" s="53"/>
      <c r="C14" s="53"/>
      <c r="D14" s="53"/>
      <c r="E14" s="53"/>
      <c r="F14" s="53"/>
      <c r="G14" s="413"/>
      <c r="H14" s="53"/>
      <c r="I14" s="53"/>
      <c r="J14" s="53"/>
      <c r="K14" s="53"/>
      <c r="L14" s="53"/>
      <c r="M14" s="53"/>
      <c r="O14" s="53"/>
    </row>
  </sheetData>
  <mergeCells count="31">
    <mergeCell ref="A1:M1"/>
    <mergeCell ref="A2:A3"/>
    <mergeCell ref="D2:E2"/>
    <mergeCell ref="F2:G2"/>
    <mergeCell ref="H2:I2"/>
    <mergeCell ref="J2:K2"/>
    <mergeCell ref="L2:M2"/>
    <mergeCell ref="L8:M8"/>
    <mergeCell ref="A7:C7"/>
    <mergeCell ref="D7:E7"/>
    <mergeCell ref="F7:G7"/>
    <mergeCell ref="H7:I7"/>
    <mergeCell ref="J7:K7"/>
    <mergeCell ref="L7:M7"/>
    <mergeCell ref="A8:C8"/>
    <mergeCell ref="D8:E8"/>
    <mergeCell ref="F8:G8"/>
    <mergeCell ref="H8:I8"/>
    <mergeCell ref="J8:K8"/>
    <mergeCell ref="L10:M10"/>
    <mergeCell ref="A9:C9"/>
    <mergeCell ref="D9:E9"/>
    <mergeCell ref="F9:G9"/>
    <mergeCell ref="H9:I9"/>
    <mergeCell ref="J9:K9"/>
    <mergeCell ref="L9:M9"/>
    <mergeCell ref="A10:C10"/>
    <mergeCell ref="D10:E10"/>
    <mergeCell ref="F10:G10"/>
    <mergeCell ref="H10:I10"/>
    <mergeCell ref="J10:K10"/>
  </mergeCells>
  <conditionalFormatting sqref="E4:E6 M4:M6 G5:G6 I4:I6 K4:K6">
    <cfRule type="expression" dxfId="138" priority="5">
      <formula>D4=""</formula>
    </cfRule>
  </conditionalFormatting>
  <conditionalFormatting sqref="E4:E6 K4:K6 M4:M6 G4:G6 I4:I6">
    <cfRule type="expression" dxfId="137" priority="6">
      <formula>D4=MIN($D4,$F4,$H4,$J4,$L4)</formula>
    </cfRule>
  </conditionalFormatting>
  <conditionalFormatting sqref="G4">
    <cfRule type="expression" dxfId="136" priority="3">
      <formula>F4=""</formula>
    </cfRule>
  </conditionalFormatting>
  <conditionalFormatting sqref="G4 K4:K6">
    <cfRule type="expression" dxfId="135" priority="4">
      <formula>F4=MIN($D4,$F4,$H4,$L4)</formula>
    </cfRule>
  </conditionalFormatting>
  <pageMargins left="0.25" right="0.25" top="0.75" bottom="0.75" header="0.3" footer="0.3"/>
  <pageSetup orientation="portrait" r:id="rId1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893700-FAE7-4869-88BD-6D776030CAB9}">
  <sheetPr codeName="Hoja106"/>
  <dimension ref="B2:K16"/>
  <sheetViews>
    <sheetView showGridLines="0" workbookViewId="0">
      <selection activeCell="B3" sqref="B3:J3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1.140625" style="1" bestFit="1" customWidth="1"/>
    <col min="5" max="5" width="11" style="1" bestFit="1" customWidth="1"/>
    <col min="6" max="6" width="12.28515625" style="1" bestFit="1" customWidth="1"/>
    <col min="7" max="7" width="11" style="1" bestFit="1" customWidth="1"/>
    <col min="8" max="8" width="12.28515625" style="1" bestFit="1" customWidth="1"/>
    <col min="9" max="9" width="5.5703125" style="1" bestFit="1" customWidth="1"/>
    <col min="10" max="10" width="10.8554687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599</v>
      </c>
      <c r="E4" s="1252" t="s">
        <v>604</v>
      </c>
      <c r="F4" s="1251"/>
      <c r="G4" s="1248" t="s">
        <v>318</v>
      </c>
      <c r="H4" s="1251"/>
      <c r="I4" s="1248" t="s">
        <v>141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824" t="s">
        <v>10</v>
      </c>
      <c r="G5" s="31" t="s">
        <v>14</v>
      </c>
      <c r="H5" s="824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24</v>
      </c>
      <c r="D6" s="9" t="s">
        <v>600</v>
      </c>
      <c r="E6" s="24">
        <f>277.25/C6</f>
        <v>11.552083333333334</v>
      </c>
      <c r="F6" s="23">
        <f>+E6*$C6</f>
        <v>277.25</v>
      </c>
      <c r="G6" s="24">
        <f>11.48*0.9</f>
        <v>10.332000000000001</v>
      </c>
      <c r="H6" s="23">
        <f>+G6*$C6</f>
        <v>247.96800000000002</v>
      </c>
      <c r="I6" s="1586" t="s">
        <v>605</v>
      </c>
      <c r="J6" s="1587"/>
      <c r="K6" s="7"/>
    </row>
    <row r="7" spans="2:11" s="3" customFormat="1" x14ac:dyDescent="0.3">
      <c r="B7" s="20">
        <v>2</v>
      </c>
      <c r="C7" s="17">
        <v>24</v>
      </c>
      <c r="D7" s="8" t="s">
        <v>601</v>
      </c>
      <c r="E7" s="25">
        <f>105.28/C7</f>
        <v>4.3866666666666667</v>
      </c>
      <c r="F7" s="23">
        <f t="shared" ref="F7:F9" si="0">+E7*$C7</f>
        <v>105.28</v>
      </c>
      <c r="G7" s="25">
        <f>6.8*0.9</f>
        <v>6.12</v>
      </c>
      <c r="H7" s="23">
        <f t="shared" ref="H7:H9" si="1">+G7*$C7</f>
        <v>146.88</v>
      </c>
      <c r="I7" s="1588"/>
      <c r="J7" s="1589"/>
      <c r="K7" s="7"/>
    </row>
    <row r="8" spans="2:11" s="3" customFormat="1" x14ac:dyDescent="0.3">
      <c r="B8" s="20">
        <v>3</v>
      </c>
      <c r="C8" s="17">
        <v>24</v>
      </c>
      <c r="D8" s="8" t="s">
        <v>602</v>
      </c>
      <c r="E8" s="25">
        <f>65.85/C8</f>
        <v>2.7437499999999999</v>
      </c>
      <c r="F8" s="23">
        <f t="shared" si="0"/>
        <v>65.849999999999994</v>
      </c>
      <c r="G8" s="25">
        <f>4.55*0.9</f>
        <v>4.0949999999999998</v>
      </c>
      <c r="H8" s="23">
        <f t="shared" si="1"/>
        <v>98.28</v>
      </c>
      <c r="I8" s="1588"/>
      <c r="J8" s="1589"/>
      <c r="K8" s="7"/>
    </row>
    <row r="9" spans="2:11" s="3" customFormat="1" ht="18" thickBot="1" x14ac:dyDescent="0.35">
      <c r="B9" s="20">
        <v>4</v>
      </c>
      <c r="C9" s="17">
        <v>24</v>
      </c>
      <c r="D9" s="8" t="s">
        <v>603</v>
      </c>
      <c r="E9" s="25">
        <f>41.59/C9</f>
        <v>1.7329166666666669</v>
      </c>
      <c r="F9" s="23">
        <f t="shared" si="0"/>
        <v>41.59</v>
      </c>
      <c r="G9" s="25">
        <f>1.81*0.9</f>
        <v>1.629</v>
      </c>
      <c r="H9" s="23">
        <f t="shared" si="1"/>
        <v>39.096000000000004</v>
      </c>
      <c r="I9" s="1590"/>
      <c r="J9" s="1591"/>
      <c r="K9" s="7"/>
    </row>
    <row r="10" spans="2:11" x14ac:dyDescent="0.3">
      <c r="B10" s="1217" t="s">
        <v>4</v>
      </c>
      <c r="C10" s="1218"/>
      <c r="D10" s="1219"/>
      <c r="E10" s="1245">
        <f>SUM(F6:F9)</f>
        <v>489.97</v>
      </c>
      <c r="F10" s="1246"/>
      <c r="G10" s="1245">
        <f>SUM(H6:H9)</f>
        <v>532.22400000000005</v>
      </c>
      <c r="H10" s="1246"/>
      <c r="I10" s="1245">
        <f>SUM(J6:J9)</f>
        <v>0</v>
      </c>
      <c r="J10" s="1247"/>
    </row>
    <row r="11" spans="2:11" x14ac:dyDescent="0.3">
      <c r="B11" s="1205" t="s">
        <v>5</v>
      </c>
      <c r="C11" s="1206"/>
      <c r="D11" s="1207"/>
      <c r="E11" s="1283">
        <v>0.2</v>
      </c>
      <c r="F11" s="1284"/>
      <c r="G11" s="1283">
        <v>0.1</v>
      </c>
      <c r="H11" s="1284"/>
      <c r="I11" s="1242">
        <v>0</v>
      </c>
      <c r="J11" s="1244"/>
    </row>
    <row r="12" spans="2:11" x14ac:dyDescent="0.3">
      <c r="B12" s="1208" t="s">
        <v>2</v>
      </c>
      <c r="C12" s="1209"/>
      <c r="D12" s="1210"/>
      <c r="E12" s="1242">
        <f>(E10)*15%</f>
        <v>73.495500000000007</v>
      </c>
      <c r="F12" s="1243"/>
      <c r="G12" s="1242">
        <f>(G10)*15%</f>
        <v>79.833600000000004</v>
      </c>
      <c r="H12" s="1243"/>
      <c r="I12" s="1242">
        <f>(I10-I11)*15%</f>
        <v>0</v>
      </c>
      <c r="J12" s="1244"/>
    </row>
    <row r="13" spans="2:11" ht="18" thickBot="1" x14ac:dyDescent="0.35">
      <c r="B13" s="1202" t="s">
        <v>3</v>
      </c>
      <c r="C13" s="1203"/>
      <c r="D13" s="1204"/>
      <c r="E13" s="1584">
        <f>(E10)+E12</f>
        <v>563.46550000000002</v>
      </c>
      <c r="F13" s="1585"/>
      <c r="G13" s="1253">
        <f>(G10)+G12</f>
        <v>612.05760000000009</v>
      </c>
      <c r="H13" s="1254"/>
      <c r="I13" s="1253">
        <f>(I10-I11)+I12</f>
        <v>0</v>
      </c>
      <c r="J13" s="1255"/>
    </row>
    <row r="15" spans="2:11" x14ac:dyDescent="0.3">
      <c r="F15" s="4"/>
      <c r="G15" s="4"/>
      <c r="H15" s="4"/>
      <c r="J15" s="4"/>
    </row>
    <row r="16" spans="2:11" x14ac:dyDescent="0.3">
      <c r="H16" s="564"/>
    </row>
  </sheetData>
  <mergeCells count="22">
    <mergeCell ref="I10:J10"/>
    <mergeCell ref="B3:J3"/>
    <mergeCell ref="B4:B5"/>
    <mergeCell ref="E4:F4"/>
    <mergeCell ref="G4:H4"/>
    <mergeCell ref="I4:J4"/>
    <mergeCell ref="B13:D13"/>
    <mergeCell ref="E13:F13"/>
    <mergeCell ref="G13:H13"/>
    <mergeCell ref="I13:J13"/>
    <mergeCell ref="I6:J9"/>
    <mergeCell ref="B11:D11"/>
    <mergeCell ref="E11:F11"/>
    <mergeCell ref="G11:H11"/>
    <mergeCell ref="I11:J11"/>
    <mergeCell ref="B12:D12"/>
    <mergeCell ref="E12:F12"/>
    <mergeCell ref="G12:H12"/>
    <mergeCell ref="I12:J12"/>
    <mergeCell ref="B10:D10"/>
    <mergeCell ref="E10:F10"/>
    <mergeCell ref="G10:H10"/>
  </mergeCells>
  <pageMargins left="0.25" right="0.25" top="0.75" bottom="0.75" header="0.3" footer="0.3"/>
  <pageSetup orientation="landscape" r:id="rId1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C9EB-EFD2-486D-9CDD-5196F71DAB32}">
  <sheetPr codeName="Hoja107"/>
  <dimension ref="B2:G10"/>
  <sheetViews>
    <sheetView showGridLines="0" workbookViewId="0">
      <selection activeCell="D6" sqref="D6"/>
    </sheetView>
  </sheetViews>
  <sheetFormatPr baseColWidth="10" defaultRowHeight="18.75" x14ac:dyDescent="0.25"/>
  <cols>
    <col min="1" max="1" width="2.7109375" style="521" bestFit="1" customWidth="1"/>
    <col min="2" max="2" width="3.5703125" style="521" bestFit="1" customWidth="1"/>
    <col min="3" max="3" width="7.5703125" style="521" bestFit="1" customWidth="1"/>
    <col min="4" max="4" width="22.7109375" style="521" bestFit="1" customWidth="1"/>
    <col min="5" max="5" width="17.42578125" style="521" bestFit="1" customWidth="1"/>
    <col min="6" max="6" width="19.140625" style="521" bestFit="1" customWidth="1"/>
    <col min="7" max="7" width="13.42578125" style="520" bestFit="1" customWidth="1"/>
    <col min="8" max="8" width="13.42578125" style="521" bestFit="1" customWidth="1"/>
    <col min="9" max="16384" width="11.42578125" style="521"/>
  </cols>
  <sheetData>
    <row r="2" spans="2:7" ht="19.5" thickBot="1" x14ac:dyDescent="0.3"/>
    <row r="3" spans="2:7" s="662" customFormat="1" ht="19.5" thickBot="1" x14ac:dyDescent="0.3">
      <c r="B3" s="1475" t="s">
        <v>1</v>
      </c>
      <c r="C3" s="1476"/>
      <c r="D3" s="1476"/>
      <c r="E3" s="1476"/>
      <c r="F3" s="1477"/>
      <c r="G3" s="661"/>
    </row>
    <row r="4" spans="2:7" ht="19.5" thickBot="1" x14ac:dyDescent="0.3">
      <c r="B4" s="1478" t="s">
        <v>6</v>
      </c>
      <c r="C4" s="651" t="s">
        <v>17</v>
      </c>
      <c r="D4" s="652" t="s">
        <v>606</v>
      </c>
      <c r="E4" s="836" t="s">
        <v>234</v>
      </c>
      <c r="F4" s="836" t="s">
        <v>91</v>
      </c>
    </row>
    <row r="5" spans="2:7" ht="19.5" thickBot="1" x14ac:dyDescent="0.3">
      <c r="B5" s="1479"/>
      <c r="C5" s="654" t="s">
        <v>11</v>
      </c>
      <c r="D5" s="655" t="s">
        <v>0</v>
      </c>
      <c r="E5" s="835" t="s">
        <v>10</v>
      </c>
      <c r="F5" s="833" t="s">
        <v>10</v>
      </c>
    </row>
    <row r="6" spans="2:7" ht="38.25" thickBot="1" x14ac:dyDescent="0.3">
      <c r="B6" s="834">
        <v>1</v>
      </c>
      <c r="C6" s="663">
        <v>2</v>
      </c>
      <c r="D6" s="664" t="s">
        <v>233</v>
      </c>
      <c r="E6" s="665">
        <v>14500</v>
      </c>
      <c r="F6" s="666">
        <v>9000</v>
      </c>
    </row>
    <row r="7" spans="2:7" x14ac:dyDescent="0.25">
      <c r="B7" s="1480" t="s">
        <v>2</v>
      </c>
      <c r="C7" s="1481"/>
      <c r="D7" s="1482"/>
      <c r="E7" s="837">
        <v>0</v>
      </c>
      <c r="F7" s="838">
        <v>0</v>
      </c>
    </row>
    <row r="8" spans="2:7" ht="19.5" thickBot="1" x14ac:dyDescent="0.3">
      <c r="B8" s="1483" t="s">
        <v>3</v>
      </c>
      <c r="C8" s="1484"/>
      <c r="D8" s="1485"/>
      <c r="E8" s="841">
        <f>+E6</f>
        <v>14500</v>
      </c>
      <c r="F8" s="668">
        <f>+F6+F7</f>
        <v>9000</v>
      </c>
    </row>
    <row r="10" spans="2:7" x14ac:dyDescent="0.25">
      <c r="E10" s="840" t="s">
        <v>607</v>
      </c>
    </row>
  </sheetData>
  <mergeCells count="4">
    <mergeCell ref="B3:F3"/>
    <mergeCell ref="B4:B5"/>
    <mergeCell ref="B7:D7"/>
    <mergeCell ref="B8:D8"/>
  </mergeCells>
  <conditionalFormatting sqref="E6:F6">
    <cfRule type="expression" dxfId="134" priority="1">
      <formula>#REF!=""</formula>
    </cfRule>
    <cfRule type="expression" dxfId="133" priority="2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E4B26A-0FF0-47CE-8B7E-A19F4939C3C4}">
  <sheetPr codeName="Hoja108"/>
  <dimension ref="A1:J10"/>
  <sheetViews>
    <sheetView showGridLines="0" workbookViewId="0">
      <selection activeCell="C4" sqref="C4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6.28515625" style="367" bestFit="1" customWidth="1"/>
    <col min="4" max="4" width="10.140625" style="367" bestFit="1" customWidth="1"/>
    <col min="5" max="5" width="12.7109375" style="367" bestFit="1" customWidth="1"/>
    <col min="6" max="6" width="10.140625" style="367" bestFit="1" customWidth="1"/>
    <col min="7" max="7" width="12.7109375" style="367" bestFit="1" customWidth="1"/>
    <col min="8" max="8" width="10.140625" style="367" bestFit="1" customWidth="1"/>
    <col min="9" max="9" width="12.7109375" style="367" bestFit="1" customWidth="1"/>
    <col min="10" max="10" width="13.42578125" style="366" bestFit="1" customWidth="1"/>
    <col min="11" max="11" width="13.42578125" style="367" bestFit="1" customWidth="1"/>
    <col min="12" max="16384" width="11.42578125" style="367"/>
  </cols>
  <sheetData>
    <row r="1" spans="1:10" s="53" customFormat="1" ht="15.75" thickBot="1" x14ac:dyDescent="0.3">
      <c r="A1" s="1359" t="s">
        <v>1</v>
      </c>
      <c r="B1" s="1360"/>
      <c r="C1" s="1360"/>
      <c r="D1" s="1361"/>
      <c r="E1" s="1361"/>
      <c r="F1" s="1361"/>
      <c r="G1" s="1361"/>
      <c r="H1" s="1361"/>
      <c r="I1" s="1362"/>
      <c r="J1" s="54"/>
    </row>
    <row r="2" spans="1:10" s="53" customFormat="1" ht="15.75" thickBot="1" x14ac:dyDescent="0.3">
      <c r="A2" s="1129" t="s">
        <v>6</v>
      </c>
      <c r="B2" s="55" t="s">
        <v>17</v>
      </c>
      <c r="C2" s="56" t="s">
        <v>267</v>
      </c>
      <c r="D2" s="1131" t="s">
        <v>271</v>
      </c>
      <c r="E2" s="1116"/>
      <c r="F2" s="1115" t="s">
        <v>272</v>
      </c>
      <c r="G2" s="1116"/>
      <c r="H2" s="1115" t="s">
        <v>450</v>
      </c>
      <c r="I2" s="1116"/>
      <c r="J2" s="54"/>
    </row>
    <row r="3" spans="1:10" s="53" customFormat="1" ht="15.75" thickBot="1" x14ac:dyDescent="0.3">
      <c r="A3" s="1130"/>
      <c r="B3" s="57" t="s">
        <v>11</v>
      </c>
      <c r="C3" s="58" t="s">
        <v>0</v>
      </c>
      <c r="D3" s="59" t="s">
        <v>14</v>
      </c>
      <c r="E3" s="839" t="s">
        <v>10</v>
      </c>
      <c r="F3" s="59" t="s">
        <v>14</v>
      </c>
      <c r="G3" s="839" t="s">
        <v>10</v>
      </c>
      <c r="H3" s="59" t="s">
        <v>14</v>
      </c>
      <c r="I3" s="61" t="s">
        <v>10</v>
      </c>
      <c r="J3" s="54"/>
    </row>
    <row r="4" spans="1:10" s="362" customFormat="1" ht="15.75" thickBot="1" x14ac:dyDescent="0.3">
      <c r="A4" s="70">
        <v>1</v>
      </c>
      <c r="B4" s="363">
        <v>100</v>
      </c>
      <c r="C4" s="364" t="s">
        <v>270</v>
      </c>
      <c r="D4" s="365">
        <v>479</v>
      </c>
      <c r="E4" s="359">
        <f t="shared" ref="E4" si="0">+D4*$B4</f>
        <v>47900</v>
      </c>
      <c r="F4" s="365">
        <v>450</v>
      </c>
      <c r="G4" s="359">
        <f t="shared" ref="G4" si="1">+F4*$B4</f>
        <v>45000</v>
      </c>
      <c r="H4" s="365">
        <v>480</v>
      </c>
      <c r="I4" s="360">
        <f t="shared" ref="I4" si="2">+H4*$B4</f>
        <v>48000</v>
      </c>
      <c r="J4" s="361"/>
    </row>
    <row r="5" spans="1:10" x14ac:dyDescent="0.25">
      <c r="A5" s="1132" t="s">
        <v>4</v>
      </c>
      <c r="B5" s="1133"/>
      <c r="C5" s="1134"/>
      <c r="D5" s="1117">
        <f>SUM(E4:E4)</f>
        <v>47900</v>
      </c>
      <c r="E5" s="1118"/>
      <c r="F5" s="1117">
        <f>SUM(G4:G4)</f>
        <v>45000</v>
      </c>
      <c r="G5" s="1118"/>
      <c r="H5" s="1117">
        <f>SUM(I4:I4)</f>
        <v>48000</v>
      </c>
      <c r="I5" s="1135"/>
    </row>
    <row r="6" spans="1:10" x14ac:dyDescent="0.25">
      <c r="A6" s="1123" t="s">
        <v>5</v>
      </c>
      <c r="B6" s="1124"/>
      <c r="C6" s="1125"/>
      <c r="D6" s="1119">
        <v>0</v>
      </c>
      <c r="E6" s="1120"/>
      <c r="F6" s="1119">
        <v>0</v>
      </c>
      <c r="G6" s="1120"/>
      <c r="H6" s="1119">
        <v>0</v>
      </c>
      <c r="I6" s="1126"/>
    </row>
    <row r="7" spans="1:10" x14ac:dyDescent="0.25">
      <c r="A7" s="1369" t="s">
        <v>2</v>
      </c>
      <c r="B7" s="1370"/>
      <c r="C7" s="1371"/>
      <c r="D7" s="1119">
        <v>0</v>
      </c>
      <c r="E7" s="1120"/>
      <c r="F7" s="1119">
        <f>(F5-F6)*15%</f>
        <v>6750</v>
      </c>
      <c r="G7" s="1120"/>
      <c r="H7" s="1119">
        <v>0</v>
      </c>
      <c r="I7" s="1126"/>
    </row>
    <row r="8" spans="1:10" ht="15.75" thickBot="1" x14ac:dyDescent="0.3">
      <c r="A8" s="1363" t="s">
        <v>3</v>
      </c>
      <c r="B8" s="1364"/>
      <c r="C8" s="1365"/>
      <c r="D8" s="1592">
        <f>(D5-D6)+D7</f>
        <v>47900</v>
      </c>
      <c r="E8" s="1593"/>
      <c r="F8" s="1366">
        <f>(F5-F6)+F7</f>
        <v>51750</v>
      </c>
      <c r="G8" s="1367"/>
      <c r="H8" s="1366">
        <f>(H5-H6)+H7</f>
        <v>48000</v>
      </c>
      <c r="I8" s="1368"/>
    </row>
    <row r="10" spans="1:10" x14ac:dyDescent="0.25">
      <c r="E10" s="368"/>
      <c r="F10" s="368"/>
      <c r="G10" s="368"/>
      <c r="I10" s="368"/>
    </row>
  </sheetData>
  <mergeCells count="21">
    <mergeCell ref="A5:C5"/>
    <mergeCell ref="D5:E5"/>
    <mergeCell ref="F5:G5"/>
    <mergeCell ref="H5:I5"/>
    <mergeCell ref="A1:I1"/>
    <mergeCell ref="A2:A3"/>
    <mergeCell ref="D2:E2"/>
    <mergeCell ref="F2:G2"/>
    <mergeCell ref="H2:I2"/>
    <mergeCell ref="A8:C8"/>
    <mergeCell ref="D8:E8"/>
    <mergeCell ref="F8:G8"/>
    <mergeCell ref="H8:I8"/>
    <mergeCell ref="A6:C6"/>
    <mergeCell ref="D6:E6"/>
    <mergeCell ref="F6:G6"/>
    <mergeCell ref="H6:I6"/>
    <mergeCell ref="A7:C7"/>
    <mergeCell ref="D7:E7"/>
    <mergeCell ref="F7:G7"/>
    <mergeCell ref="H7:I7"/>
  </mergeCells>
  <conditionalFormatting sqref="E4 G4 I4">
    <cfRule type="expression" dxfId="132" priority="1">
      <formula>D4=""</formula>
    </cfRule>
    <cfRule type="expression" dxfId="131" priority="2">
      <formula>D4=MIN($D4,$F4,$H4)</formula>
    </cfRule>
  </conditionalFormatting>
  <pageMargins left="0.25" right="0.25" top="0.75" bottom="0.75" header="0.3" footer="0.3"/>
  <pageSetup orientation="portrait" r:id="rId1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F57E19-DB5F-431C-AE3F-B42EA2F31B5C}">
  <sheetPr codeName="Hoja109"/>
  <dimension ref="A1:K16"/>
  <sheetViews>
    <sheetView showGridLines="0" workbookViewId="0">
      <selection activeCell="C11" sqref="C11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6.85546875" style="53" bestFit="1" customWidth="1"/>
    <col min="4" max="9" width="12.7109375" style="53" bestFit="1" customWidth="1"/>
    <col min="10" max="10" width="11.7109375" style="54" bestFit="1" customWidth="1"/>
    <col min="11" max="11" width="12.7109375" style="53" bestFit="1" customWidth="1"/>
    <col min="12" max="16384" width="11.42578125" style="53"/>
  </cols>
  <sheetData>
    <row r="1" spans="1:11" ht="15.75" thickBot="1" x14ac:dyDescent="0.3">
      <c r="A1" s="1115" t="s">
        <v>1</v>
      </c>
      <c r="B1" s="1127"/>
      <c r="C1" s="1127"/>
      <c r="D1" s="1128"/>
      <c r="E1" s="1128"/>
      <c r="F1" s="1128"/>
      <c r="G1" s="1128"/>
      <c r="H1" s="1128"/>
      <c r="I1" s="1116"/>
    </row>
    <row r="2" spans="1:11" ht="15.75" thickBot="1" x14ac:dyDescent="0.3">
      <c r="A2" s="1129" t="s">
        <v>6</v>
      </c>
      <c r="B2" s="55" t="s">
        <v>17</v>
      </c>
      <c r="C2" s="56" t="s">
        <v>608</v>
      </c>
      <c r="D2" s="1131" t="s">
        <v>284</v>
      </c>
      <c r="E2" s="1116"/>
      <c r="F2" s="1115" t="s">
        <v>29</v>
      </c>
      <c r="G2" s="1116"/>
      <c r="H2" s="1115" t="s">
        <v>31</v>
      </c>
      <c r="I2" s="1116"/>
    </row>
    <row r="3" spans="1:11" ht="15.75" thickBot="1" x14ac:dyDescent="0.3">
      <c r="A3" s="1130"/>
      <c r="B3" s="57" t="s">
        <v>11</v>
      </c>
      <c r="C3" s="58" t="s">
        <v>0</v>
      </c>
      <c r="D3" s="59" t="s">
        <v>14</v>
      </c>
      <c r="E3" s="842" t="s">
        <v>10</v>
      </c>
      <c r="F3" s="59" t="s">
        <v>14</v>
      </c>
      <c r="G3" s="842" t="s">
        <v>10</v>
      </c>
      <c r="H3" s="59" t="s">
        <v>14</v>
      </c>
      <c r="I3" s="61" t="s">
        <v>10</v>
      </c>
    </row>
    <row r="4" spans="1:11" s="69" customFormat="1" ht="30.75" thickBot="1" x14ac:dyDescent="0.3">
      <c r="A4" s="70">
        <v>1</v>
      </c>
      <c r="B4" s="192">
        <v>1</v>
      </c>
      <c r="C4" s="193" t="s">
        <v>609</v>
      </c>
      <c r="D4" s="71">
        <f>520*TC!C3</f>
        <v>18561.296000000002</v>
      </c>
      <c r="E4" s="66">
        <f t="shared" ref="E4" si="0">+D4*$B4</f>
        <v>18561.296000000002</v>
      </c>
      <c r="F4" s="71">
        <f>469.57*TC!C3</f>
        <v>16761.207235999998</v>
      </c>
      <c r="G4" s="66">
        <f t="shared" ref="G4" si="1">+F4*$B4</f>
        <v>16761.207235999998</v>
      </c>
      <c r="H4" s="71">
        <v>18505.759999999998</v>
      </c>
      <c r="I4" s="67">
        <f t="shared" ref="I4" si="2">+H4*$B4</f>
        <v>18505.759999999998</v>
      </c>
      <c r="J4" s="68"/>
    </row>
    <row r="5" spans="1:11" x14ac:dyDescent="0.25">
      <c r="A5" s="1132" t="s">
        <v>4</v>
      </c>
      <c r="B5" s="1133"/>
      <c r="C5" s="1134"/>
      <c r="D5" s="1117">
        <f>SUM(E4:E4)</f>
        <v>18561.296000000002</v>
      </c>
      <c r="E5" s="1118"/>
      <c r="F5" s="1117">
        <f>SUM(G4:G4)</f>
        <v>16761.207235999998</v>
      </c>
      <c r="G5" s="1118"/>
      <c r="H5" s="1117">
        <f>SUM(I4:I4)</f>
        <v>18505.759999999998</v>
      </c>
      <c r="I5" s="1135"/>
    </row>
    <row r="6" spans="1:11" x14ac:dyDescent="0.25">
      <c r="A6" s="1123" t="s">
        <v>5</v>
      </c>
      <c r="B6" s="1124"/>
      <c r="C6" s="1125"/>
      <c r="D6" s="1119">
        <v>0</v>
      </c>
      <c r="E6" s="1120"/>
      <c r="F6" s="1119">
        <v>0</v>
      </c>
      <c r="G6" s="1120"/>
      <c r="H6" s="1119">
        <v>0</v>
      </c>
      <c r="I6" s="1126"/>
    </row>
    <row r="7" spans="1:11" x14ac:dyDescent="0.25">
      <c r="A7" s="1123" t="s">
        <v>2</v>
      </c>
      <c r="B7" s="1124"/>
      <c r="C7" s="1125"/>
      <c r="D7" s="1119">
        <f>+D5*0.15</f>
        <v>2784.1944000000003</v>
      </c>
      <c r="E7" s="1120"/>
      <c r="F7" s="1119">
        <f>(F5-F6)*15%</f>
        <v>2514.1810853999996</v>
      </c>
      <c r="G7" s="1120"/>
      <c r="H7" s="1119">
        <f>+H5*0.15</f>
        <v>2775.8639999999996</v>
      </c>
      <c r="I7" s="1126"/>
    </row>
    <row r="8" spans="1:11" ht="15.75" thickBot="1" x14ac:dyDescent="0.3">
      <c r="A8" s="1109" t="s">
        <v>3</v>
      </c>
      <c r="B8" s="1110"/>
      <c r="C8" s="1111"/>
      <c r="D8" s="1112">
        <f>(D5-D6)+D7</f>
        <v>21345.490400000002</v>
      </c>
      <c r="E8" s="1113"/>
      <c r="F8" s="1112">
        <f>(F5-F6)+F7</f>
        <v>19275.388321399998</v>
      </c>
      <c r="G8" s="1113"/>
      <c r="H8" s="1112">
        <f>(H5-H6)+H7</f>
        <v>21281.623999999996</v>
      </c>
      <c r="I8" s="1114"/>
    </row>
    <row r="9" spans="1:11" ht="15.75" thickBot="1" x14ac:dyDescent="0.3"/>
    <row r="10" spans="1:11" x14ac:dyDescent="0.25">
      <c r="A10" s="1380" t="s">
        <v>6</v>
      </c>
      <c r="B10" s="825" t="s">
        <v>17</v>
      </c>
      <c r="C10" s="826" t="s">
        <v>665</v>
      </c>
      <c r="D10" s="1530" t="s">
        <v>119</v>
      </c>
      <c r="E10" s="1530"/>
      <c r="F10" s="1530" t="s">
        <v>29</v>
      </c>
      <c r="G10" s="1530"/>
      <c r="H10" s="1530" t="s">
        <v>31</v>
      </c>
      <c r="I10" s="1530"/>
      <c r="J10" s="1530" t="s">
        <v>118</v>
      </c>
      <c r="K10" s="1531"/>
    </row>
    <row r="11" spans="1:11" ht="15.75" thickBot="1" x14ac:dyDescent="0.3">
      <c r="A11" s="1381"/>
      <c r="B11" s="371" t="s">
        <v>11</v>
      </c>
      <c r="C11" s="372" t="s">
        <v>0</v>
      </c>
      <c r="D11" s="372" t="s">
        <v>14</v>
      </c>
      <c r="E11" s="372" t="s">
        <v>10</v>
      </c>
      <c r="F11" s="372" t="s">
        <v>14</v>
      </c>
      <c r="G11" s="372" t="s">
        <v>10</v>
      </c>
      <c r="H11" s="372" t="s">
        <v>14</v>
      </c>
      <c r="I11" s="372" t="s">
        <v>10</v>
      </c>
      <c r="J11" s="372" t="s">
        <v>14</v>
      </c>
      <c r="K11" s="373" t="s">
        <v>10</v>
      </c>
    </row>
    <row r="12" spans="1:11" ht="30.75" thickBot="1" x14ac:dyDescent="0.3">
      <c r="A12" s="848">
        <v>1</v>
      </c>
      <c r="B12" s="847">
        <v>3</v>
      </c>
      <c r="C12" s="846" t="s">
        <v>610</v>
      </c>
      <c r="D12" s="843">
        <v>5598.6</v>
      </c>
      <c r="E12" s="843">
        <f t="shared" ref="E12" si="3">+D12*$B12</f>
        <v>16795.800000000003</v>
      </c>
      <c r="F12" s="843">
        <f>155.34*TC!C3</f>
        <v>5544.8302320000003</v>
      </c>
      <c r="G12" s="843">
        <f t="shared" ref="G12" si="4">+F12*$B12</f>
        <v>16634.490696000001</v>
      </c>
      <c r="H12" s="843">
        <v>8034.61</v>
      </c>
      <c r="I12" s="843">
        <f t="shared" ref="I12" si="5">+H12*$B12</f>
        <v>24103.829999999998</v>
      </c>
      <c r="J12" s="843">
        <v>4904.43</v>
      </c>
      <c r="K12" s="844">
        <f t="shared" ref="K12" si="6">+J12*$B12</f>
        <v>14713.29</v>
      </c>
    </row>
    <row r="13" spans="1:11" x14ac:dyDescent="0.25">
      <c r="A13" s="1132" t="s">
        <v>4</v>
      </c>
      <c r="B13" s="1133"/>
      <c r="C13" s="1133"/>
      <c r="D13" s="1378">
        <f>SUM(E12:E12)</f>
        <v>16795.800000000003</v>
      </c>
      <c r="E13" s="1378"/>
      <c r="F13" s="1378">
        <f>SUM(G12:G12)</f>
        <v>16634.490696000001</v>
      </c>
      <c r="G13" s="1378"/>
      <c r="H13" s="1378">
        <f>SUM(I12:I12)</f>
        <v>24103.829999999998</v>
      </c>
      <c r="I13" s="1378"/>
      <c r="J13" s="1378">
        <f>SUM(K12:K12)</f>
        <v>14713.29</v>
      </c>
      <c r="K13" s="1379"/>
    </row>
    <row r="14" spans="1:11" x14ac:dyDescent="0.25">
      <c r="A14" s="1123" t="s">
        <v>5</v>
      </c>
      <c r="B14" s="1124"/>
      <c r="C14" s="1124"/>
      <c r="D14" s="1374">
        <v>0</v>
      </c>
      <c r="E14" s="1374"/>
      <c r="F14" s="1374">
        <v>0</v>
      </c>
      <c r="G14" s="1374"/>
      <c r="H14" s="1374">
        <v>0</v>
      </c>
      <c r="I14" s="1374"/>
      <c r="J14" s="1374">
        <v>0</v>
      </c>
      <c r="K14" s="1375"/>
    </row>
    <row r="15" spans="1:11" x14ac:dyDescent="0.25">
      <c r="A15" s="1123" t="s">
        <v>2</v>
      </c>
      <c r="B15" s="1124"/>
      <c r="C15" s="1124"/>
      <c r="D15" s="1374">
        <f>+D13*0.15</f>
        <v>2519.3700000000003</v>
      </c>
      <c r="E15" s="1374"/>
      <c r="F15" s="1374">
        <f>(F13-F14)*15%</f>
        <v>2495.1736043999999</v>
      </c>
      <c r="G15" s="1374"/>
      <c r="H15" s="1374">
        <f>+H13*0.15</f>
        <v>3615.5744999999997</v>
      </c>
      <c r="I15" s="1374"/>
      <c r="J15" s="1374">
        <f>+J13*0.15</f>
        <v>2206.9935</v>
      </c>
      <c r="K15" s="1375"/>
    </row>
    <row r="16" spans="1:11" ht="15.75" thickBot="1" x14ac:dyDescent="0.3">
      <c r="A16" s="1109" t="s">
        <v>3</v>
      </c>
      <c r="B16" s="1110"/>
      <c r="C16" s="1110"/>
      <c r="D16" s="1372">
        <f>(D13-D14)+D15</f>
        <v>19315.170000000002</v>
      </c>
      <c r="E16" s="1372"/>
      <c r="F16" s="1372">
        <f>(F13-F14)+F15</f>
        <v>19129.6643004</v>
      </c>
      <c r="G16" s="1372"/>
      <c r="H16" s="1372">
        <f>(H13-H14)+H15</f>
        <v>27719.404499999997</v>
      </c>
      <c r="I16" s="1372"/>
      <c r="J16" s="1372">
        <f>(J13-J14)+J15</f>
        <v>16920.283500000001</v>
      </c>
      <c r="K16" s="1373"/>
    </row>
  </sheetData>
  <mergeCells count="46">
    <mergeCell ref="J10:K10"/>
    <mergeCell ref="J13:K13"/>
    <mergeCell ref="J14:K14"/>
    <mergeCell ref="J15:K15"/>
    <mergeCell ref="J16:K16"/>
    <mergeCell ref="A15:C15"/>
    <mergeCell ref="D15:E15"/>
    <mergeCell ref="F15:G15"/>
    <mergeCell ref="H15:I15"/>
    <mergeCell ref="A16:C16"/>
    <mergeCell ref="D16:E16"/>
    <mergeCell ref="F16:G16"/>
    <mergeCell ref="H16:I16"/>
    <mergeCell ref="A13:C13"/>
    <mergeCell ref="D13:E13"/>
    <mergeCell ref="F13:G13"/>
    <mergeCell ref="H13:I13"/>
    <mergeCell ref="A14:C14"/>
    <mergeCell ref="D14:E14"/>
    <mergeCell ref="F14:G14"/>
    <mergeCell ref="H14:I14"/>
    <mergeCell ref="A8:C8"/>
    <mergeCell ref="D8:E8"/>
    <mergeCell ref="F8:G8"/>
    <mergeCell ref="H8:I8"/>
    <mergeCell ref="A10:A11"/>
    <mergeCell ref="D10:E10"/>
    <mergeCell ref="F10:G10"/>
    <mergeCell ref="H10:I10"/>
    <mergeCell ref="A6:C6"/>
    <mergeCell ref="D6:E6"/>
    <mergeCell ref="F6:G6"/>
    <mergeCell ref="H6:I6"/>
    <mergeCell ref="A7:C7"/>
    <mergeCell ref="D7:E7"/>
    <mergeCell ref="F7:G7"/>
    <mergeCell ref="H7:I7"/>
    <mergeCell ref="A5:C5"/>
    <mergeCell ref="D5:E5"/>
    <mergeCell ref="F5:G5"/>
    <mergeCell ref="H5:I5"/>
    <mergeCell ref="A1:I1"/>
    <mergeCell ref="A2:A3"/>
    <mergeCell ref="D2:E2"/>
    <mergeCell ref="F2:G2"/>
    <mergeCell ref="H2:I2"/>
  </mergeCells>
  <conditionalFormatting sqref="E4 G4 I4">
    <cfRule type="expression" dxfId="130" priority="5">
      <formula>D4=""</formula>
    </cfRule>
    <cfRule type="expression" dxfId="129" priority="6">
      <formula>D4=MIN($D4,$F4,$H4)</formula>
    </cfRule>
  </conditionalFormatting>
  <conditionalFormatting sqref="E12 G12 I12">
    <cfRule type="expression" dxfId="128" priority="3">
      <formula>D12=""</formula>
    </cfRule>
  </conditionalFormatting>
  <conditionalFormatting sqref="K12">
    <cfRule type="expression" dxfId="127" priority="1">
      <formula>J12=""</formula>
    </cfRule>
    <cfRule type="expression" dxfId="126" priority="2">
      <formula>J12=MIN($D12,$F12,$H12)</formula>
    </cfRule>
  </conditionalFormatting>
  <conditionalFormatting sqref="E12 G12 I12 K12">
    <cfRule type="expression" dxfId="125" priority="4">
      <formula>D12=MIN($D12,$F12,$H12,$J12)</formula>
    </cfRule>
  </conditionalFormatting>
  <pageMargins left="0.25" right="0.25" top="0.75" bottom="0.75" header="0.3" footer="0.3"/>
  <pageSetup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2A398-E49A-411C-BE5C-EF4A61DAF6B3}">
  <sheetPr codeName="Hoja11"/>
  <dimension ref="B2:K19"/>
  <sheetViews>
    <sheetView showGridLines="0" workbookViewId="0">
      <selection activeCell="C6" sqref="C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6" width="14.140625" style="2" bestFit="1" customWidth="1"/>
    <col min="7" max="7" width="12.28515625" style="2" bestFit="1" customWidth="1"/>
    <col min="8" max="8" width="14.140625" style="2" bestFit="1" customWidth="1"/>
    <col min="9" max="9" width="11" style="2" bestFit="1" customWidth="1"/>
    <col min="10" max="10" width="14.140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1" ht="18" thickBot="1" x14ac:dyDescent="0.3">
      <c r="B4" s="1215" t="s">
        <v>6</v>
      </c>
      <c r="C4" s="29" t="s">
        <v>17</v>
      </c>
      <c r="D4" s="30" t="s">
        <v>97</v>
      </c>
      <c r="E4" s="1252" t="s">
        <v>98</v>
      </c>
      <c r="F4" s="1251"/>
      <c r="G4" s="1248" t="s">
        <v>99</v>
      </c>
      <c r="H4" s="1251"/>
      <c r="I4" s="1248" t="s">
        <v>100</v>
      </c>
      <c r="J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167" t="s">
        <v>10</v>
      </c>
      <c r="G5" s="31" t="s">
        <v>14</v>
      </c>
      <c r="H5" s="167" t="s">
        <v>10</v>
      </c>
      <c r="I5" s="31" t="s">
        <v>14</v>
      </c>
      <c r="J5" s="32" t="s">
        <v>10</v>
      </c>
    </row>
    <row r="6" spans="2:11" s="157" customFormat="1" x14ac:dyDescent="0.25">
      <c r="B6" s="20">
        <v>1</v>
      </c>
      <c r="C6" s="169">
        <v>100</v>
      </c>
      <c r="D6" s="170" t="s">
        <v>95</v>
      </c>
      <c r="E6" s="171">
        <v>11.33</v>
      </c>
      <c r="F6" s="161">
        <f t="shared" ref="F6:F7" si="0">+E6*C6</f>
        <v>1133</v>
      </c>
      <c r="G6" s="171">
        <f>1.06*TC!C3</f>
        <v>37.836488000000003</v>
      </c>
      <c r="H6" s="161">
        <f t="shared" ref="H6:H7" si="1">+G6*C6</f>
        <v>3783.6488000000004</v>
      </c>
      <c r="I6" s="171">
        <v>13</v>
      </c>
      <c r="J6" s="162">
        <f t="shared" ref="J6:J7" si="2">+I6*C6</f>
        <v>1300</v>
      </c>
      <c r="K6" s="163"/>
    </row>
    <row r="7" spans="2:11" s="157" customFormat="1" ht="35.25" thickBot="1" x14ac:dyDescent="0.3">
      <c r="B7" s="20">
        <v>2</v>
      </c>
      <c r="C7" s="169">
        <v>4</v>
      </c>
      <c r="D7" s="170" t="s">
        <v>96</v>
      </c>
      <c r="E7" s="171">
        <v>251.37</v>
      </c>
      <c r="F7" s="161">
        <f t="shared" si="0"/>
        <v>1005.48</v>
      </c>
      <c r="G7" s="171">
        <f>4.08*TC!C3</f>
        <v>145.634784</v>
      </c>
      <c r="H7" s="161">
        <f t="shared" si="1"/>
        <v>582.53913599999998</v>
      </c>
      <c r="I7" s="171">
        <v>87</v>
      </c>
      <c r="J7" s="162">
        <f t="shared" si="2"/>
        <v>348</v>
      </c>
      <c r="K7" s="163"/>
    </row>
    <row r="8" spans="2:11" x14ac:dyDescent="0.25">
      <c r="B8" s="1217" t="s">
        <v>4</v>
      </c>
      <c r="C8" s="1218"/>
      <c r="D8" s="1219"/>
      <c r="E8" s="1245">
        <f>SUM(F6:F7)</f>
        <v>2138.48</v>
      </c>
      <c r="F8" s="1246"/>
      <c r="G8" s="1245">
        <f>SUM(H6:H7)</f>
        <v>4366.1879360000003</v>
      </c>
      <c r="H8" s="1246"/>
      <c r="I8" s="1245">
        <f>SUM(J6:J7)</f>
        <v>1648</v>
      </c>
      <c r="J8" s="1247"/>
    </row>
    <row r="9" spans="2:11" x14ac:dyDescent="0.25">
      <c r="B9" s="1205" t="s">
        <v>5</v>
      </c>
      <c r="C9" s="1206"/>
      <c r="D9" s="1207"/>
      <c r="E9" s="1242">
        <v>0</v>
      </c>
      <c r="F9" s="1243"/>
      <c r="G9" s="1242">
        <v>0</v>
      </c>
      <c r="H9" s="1243"/>
      <c r="I9" s="1242">
        <v>0</v>
      </c>
      <c r="J9" s="1244"/>
    </row>
    <row r="10" spans="2:11" x14ac:dyDescent="0.25">
      <c r="B10" s="1205" t="s">
        <v>2</v>
      </c>
      <c r="C10" s="1206"/>
      <c r="D10" s="1207"/>
      <c r="E10" s="1242">
        <f>(E8-E9)*15%</f>
        <v>320.77199999999999</v>
      </c>
      <c r="F10" s="1243"/>
      <c r="G10" s="1242">
        <f>(G8-G9)*15%</f>
        <v>654.92819040000006</v>
      </c>
      <c r="H10" s="1243"/>
      <c r="I10" s="1242">
        <f>(I8-I9)*15%</f>
        <v>247.2</v>
      </c>
      <c r="J10" s="1244"/>
    </row>
    <row r="11" spans="2:11" ht="18" thickBot="1" x14ac:dyDescent="0.3">
      <c r="B11" s="1236" t="s">
        <v>3</v>
      </c>
      <c r="C11" s="1237"/>
      <c r="D11" s="1238"/>
      <c r="E11" s="1239">
        <f>(E8-E9)+E10</f>
        <v>2459.252</v>
      </c>
      <c r="F11" s="1240"/>
      <c r="G11" s="1239">
        <f>(G8-G9)+G10</f>
        <v>5021.1161264000002</v>
      </c>
      <c r="H11" s="1240"/>
      <c r="I11" s="1239">
        <f>(I8-I9)+I10</f>
        <v>1895.2</v>
      </c>
      <c r="J11" s="1241"/>
    </row>
    <row r="12" spans="2:11" ht="18" thickBot="1" x14ac:dyDescent="0.3"/>
    <row r="13" spans="2:11" ht="18" thickBot="1" x14ac:dyDescent="0.3">
      <c r="B13" s="1215" t="s">
        <v>6</v>
      </c>
      <c r="C13" s="29" t="s">
        <v>17</v>
      </c>
      <c r="D13" s="173" t="s">
        <v>97</v>
      </c>
      <c r="E13" s="166" t="s">
        <v>92</v>
      </c>
      <c r="F13" s="172" t="s">
        <v>101</v>
      </c>
      <c r="H13" s="164"/>
      <c r="I13" s="6"/>
      <c r="K13" s="2"/>
    </row>
    <row r="14" spans="2:11" ht="18" thickBot="1" x14ac:dyDescent="0.3">
      <c r="B14" s="1216"/>
      <c r="C14" s="33" t="s">
        <v>11</v>
      </c>
      <c r="D14" s="174" t="s">
        <v>0</v>
      </c>
      <c r="E14" s="21" t="s">
        <v>10</v>
      </c>
      <c r="F14" s="178" t="s">
        <v>10</v>
      </c>
      <c r="I14" s="6"/>
      <c r="K14" s="2"/>
    </row>
    <row r="15" spans="2:11" ht="35.25" thickBot="1" x14ac:dyDescent="0.3">
      <c r="B15" s="22">
        <v>1</v>
      </c>
      <c r="C15" s="179">
        <v>1</v>
      </c>
      <c r="D15" s="180" t="s">
        <v>102</v>
      </c>
      <c r="E15" s="181">
        <v>1530.12</v>
      </c>
      <c r="F15" s="182">
        <v>880</v>
      </c>
      <c r="I15" s="6"/>
      <c r="K15" s="2"/>
    </row>
    <row r="16" spans="2:11" x14ac:dyDescent="0.25">
      <c r="B16" s="1217" t="s">
        <v>4</v>
      </c>
      <c r="C16" s="1218"/>
      <c r="D16" s="1219"/>
      <c r="E16" s="183">
        <f>+E15</f>
        <v>1530.12</v>
      </c>
      <c r="F16" s="184">
        <f>+F15</f>
        <v>880</v>
      </c>
      <c r="I16" s="6"/>
      <c r="K16" s="2"/>
    </row>
    <row r="17" spans="2:11" x14ac:dyDescent="0.25">
      <c r="B17" s="1205" t="s">
        <v>5</v>
      </c>
      <c r="C17" s="1206"/>
      <c r="D17" s="1207"/>
      <c r="E17" s="175">
        <v>153.01</v>
      </c>
      <c r="F17" s="176">
        <v>88</v>
      </c>
      <c r="I17" s="6"/>
      <c r="K17" s="2"/>
    </row>
    <row r="18" spans="2:11" x14ac:dyDescent="0.25">
      <c r="B18" s="1205" t="s">
        <v>2</v>
      </c>
      <c r="C18" s="1206"/>
      <c r="D18" s="1207"/>
      <c r="E18" s="175">
        <f>(E16-E17)*15%</f>
        <v>206.56649999999999</v>
      </c>
      <c r="F18" s="176">
        <f>(F16-F17)*15%</f>
        <v>118.8</v>
      </c>
      <c r="I18" s="6"/>
      <c r="K18" s="2"/>
    </row>
    <row r="19" spans="2:11" ht="18" thickBot="1" x14ac:dyDescent="0.3">
      <c r="B19" s="1236" t="s">
        <v>3</v>
      </c>
      <c r="C19" s="1237"/>
      <c r="D19" s="1238"/>
      <c r="E19" s="177">
        <f>(E16-E17)+E18</f>
        <v>1583.6764999999998</v>
      </c>
      <c r="F19" s="185">
        <f>(F16-F17)+F18</f>
        <v>910.8</v>
      </c>
      <c r="I19" s="6"/>
      <c r="K19" s="2"/>
    </row>
  </sheetData>
  <mergeCells count="26">
    <mergeCell ref="B8:D8"/>
    <mergeCell ref="E8:F8"/>
    <mergeCell ref="G8:H8"/>
    <mergeCell ref="I8:J8"/>
    <mergeCell ref="B3:J3"/>
    <mergeCell ref="B4:B5"/>
    <mergeCell ref="E4:F4"/>
    <mergeCell ref="G4:H4"/>
    <mergeCell ref="I4:J4"/>
    <mergeCell ref="E11:F11"/>
    <mergeCell ref="G11:H11"/>
    <mergeCell ref="I11:J11"/>
    <mergeCell ref="B13:B14"/>
    <mergeCell ref="B9:D9"/>
    <mergeCell ref="E9:F9"/>
    <mergeCell ref="G9:H9"/>
    <mergeCell ref="I9:J9"/>
    <mergeCell ref="B10:D10"/>
    <mergeCell ref="E10:F10"/>
    <mergeCell ref="G10:H10"/>
    <mergeCell ref="I10:J10"/>
    <mergeCell ref="B18:D18"/>
    <mergeCell ref="B19:D19"/>
    <mergeCell ref="B16:D16"/>
    <mergeCell ref="B17:D17"/>
    <mergeCell ref="B11:D11"/>
  </mergeCells>
  <conditionalFormatting sqref="F6:F7 H6:H7 J6:J7">
    <cfRule type="expression" dxfId="510" priority="7">
      <formula>E6=""</formula>
    </cfRule>
    <cfRule type="expression" dxfId="509" priority="8">
      <formula>E6=MIN($E6,$G6,$I6)</formula>
    </cfRule>
  </conditionalFormatting>
  <conditionalFormatting sqref="F15">
    <cfRule type="expression" dxfId="508" priority="21">
      <formula>E15=""</formula>
    </cfRule>
    <cfRule type="expression" dxfId="507" priority="22">
      <formula>E15=MIN($E15,#REF!,$G15)</formula>
    </cfRule>
  </conditionalFormatting>
  <pageMargins left="0.25" right="0.25" top="0.75" bottom="0.75" header="0.3" footer="0.3"/>
  <pageSetup orientation="landscape" r:id="rId1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F4113-8F3F-427F-9A68-155A05D9628C}">
  <sheetPr codeName="Hoja110"/>
  <dimension ref="B2:K13"/>
  <sheetViews>
    <sheetView showGridLines="0" workbookViewId="0">
      <selection activeCell="D7" sqref="D7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10" width="14.1406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611</v>
      </c>
      <c r="E4" s="1252" t="s">
        <v>18</v>
      </c>
      <c r="F4" s="1251"/>
      <c r="G4" s="1248" t="s">
        <v>21</v>
      </c>
      <c r="H4" s="1251"/>
      <c r="I4" s="1248" t="s">
        <v>22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845" t="s">
        <v>10</v>
      </c>
      <c r="G5" s="31" t="s">
        <v>14</v>
      </c>
      <c r="H5" s="845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1</v>
      </c>
      <c r="D6" s="9" t="s">
        <v>612</v>
      </c>
      <c r="E6" s="24">
        <f>39.31*TC!$C$3</f>
        <v>1403.1625880000001</v>
      </c>
      <c r="F6" s="23">
        <f>+E6*$C6</f>
        <v>1403.1625880000001</v>
      </c>
      <c r="G6" s="24">
        <v>1179.5999999999999</v>
      </c>
      <c r="H6" s="23">
        <f>+G6*$C6</f>
        <v>1179.5999999999999</v>
      </c>
      <c r="I6" s="24">
        <v>1173.9100000000001</v>
      </c>
      <c r="J6" s="27">
        <f>+I6*$C6</f>
        <v>1173.9100000000001</v>
      </c>
      <c r="K6" s="7"/>
    </row>
    <row r="7" spans="2:11" s="3" customFormat="1" ht="18" thickBot="1" x14ac:dyDescent="0.35">
      <c r="B7" s="20">
        <v>2</v>
      </c>
      <c r="C7" s="17">
        <v>1</v>
      </c>
      <c r="D7" s="8" t="s">
        <v>613</v>
      </c>
      <c r="E7" s="24">
        <f>39.31*TC!$C$3</f>
        <v>1403.1625880000001</v>
      </c>
      <c r="F7" s="23">
        <f t="shared" ref="F7" si="0">+E7*$C7</f>
        <v>1403.1625880000001</v>
      </c>
      <c r="G7" s="24">
        <v>1179.5999999999999</v>
      </c>
      <c r="H7" s="23">
        <f t="shared" ref="H7" si="1">+G7*$C7</f>
        <v>1179.5999999999999</v>
      </c>
      <c r="I7" s="24">
        <v>1173.9100000000001</v>
      </c>
      <c r="J7" s="27">
        <f t="shared" ref="J7" si="2">+I7*$C7</f>
        <v>1173.9100000000001</v>
      </c>
      <c r="K7" s="7"/>
    </row>
    <row r="8" spans="2:11" x14ac:dyDescent="0.3">
      <c r="B8" s="1217" t="s">
        <v>4</v>
      </c>
      <c r="C8" s="1218"/>
      <c r="D8" s="1219"/>
      <c r="E8" s="1245">
        <f>SUM(F6:F7)</f>
        <v>2806.3251760000003</v>
      </c>
      <c r="F8" s="1246"/>
      <c r="G8" s="1245">
        <f>SUM(H6:H7)</f>
        <v>2359.1999999999998</v>
      </c>
      <c r="H8" s="1246"/>
      <c r="I8" s="1245">
        <f>SUM(J6:J7)</f>
        <v>2347.8200000000002</v>
      </c>
      <c r="J8" s="1247"/>
    </row>
    <row r="9" spans="2:11" x14ac:dyDescent="0.3">
      <c r="B9" s="1205" t="s">
        <v>5</v>
      </c>
      <c r="C9" s="1206"/>
      <c r="D9" s="1207"/>
      <c r="E9" s="1242">
        <v>0</v>
      </c>
      <c r="F9" s="1243"/>
      <c r="G9" s="1242">
        <v>0</v>
      </c>
      <c r="H9" s="1243"/>
      <c r="I9" s="1242">
        <v>0</v>
      </c>
      <c r="J9" s="1244"/>
    </row>
    <row r="10" spans="2:11" x14ac:dyDescent="0.3">
      <c r="B10" s="1208" t="s">
        <v>2</v>
      </c>
      <c r="C10" s="1209"/>
      <c r="D10" s="1210"/>
      <c r="E10" s="1242">
        <f>(E8-E9)*15%</f>
        <v>420.94877640000004</v>
      </c>
      <c r="F10" s="1243"/>
      <c r="G10" s="1242">
        <f>(G8-G9)*15%</f>
        <v>353.87999999999994</v>
      </c>
      <c r="H10" s="1243"/>
      <c r="I10" s="1242">
        <f>(I8-I9)*15%</f>
        <v>352.173</v>
      </c>
      <c r="J10" s="1244"/>
    </row>
    <row r="11" spans="2:11" ht="18" thickBot="1" x14ac:dyDescent="0.35">
      <c r="B11" s="1202" t="s">
        <v>3</v>
      </c>
      <c r="C11" s="1203"/>
      <c r="D11" s="1204"/>
      <c r="E11" s="1253">
        <f>(E8-E9)+E10</f>
        <v>3227.2739524000003</v>
      </c>
      <c r="F11" s="1254"/>
      <c r="G11" s="1253">
        <f>(G8-G9)+G10</f>
        <v>2713.08</v>
      </c>
      <c r="H11" s="1254"/>
      <c r="I11" s="1253">
        <f>(I8-I9)+I10</f>
        <v>2699.9930000000004</v>
      </c>
      <c r="J11" s="1255"/>
    </row>
    <row r="13" spans="2:11" x14ac:dyDescent="0.3">
      <c r="F13" s="4"/>
      <c r="G13" s="4"/>
      <c r="H13" s="4"/>
      <c r="J13" s="4"/>
    </row>
  </sheetData>
  <mergeCells count="21">
    <mergeCell ref="B8:D8"/>
    <mergeCell ref="E8:F8"/>
    <mergeCell ref="G8:H8"/>
    <mergeCell ref="I8:J8"/>
    <mergeCell ref="B3:J3"/>
    <mergeCell ref="B4:B5"/>
    <mergeCell ref="E4:F4"/>
    <mergeCell ref="G4:H4"/>
    <mergeCell ref="I4:J4"/>
    <mergeCell ref="B11:D11"/>
    <mergeCell ref="E11:F11"/>
    <mergeCell ref="G11:H11"/>
    <mergeCell ref="I11:J11"/>
    <mergeCell ref="B9:D9"/>
    <mergeCell ref="E9:F9"/>
    <mergeCell ref="G9:H9"/>
    <mergeCell ref="I9:J9"/>
    <mergeCell ref="B10:D10"/>
    <mergeCell ref="E10:F10"/>
    <mergeCell ref="G10:H10"/>
    <mergeCell ref="I10:J10"/>
  </mergeCells>
  <conditionalFormatting sqref="F6:F7 H6:H7 J6:J7">
    <cfRule type="expression" dxfId="124" priority="5">
      <formula>E6=""</formula>
    </cfRule>
    <cfRule type="expression" dxfId="123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3A473-022B-4675-B46F-BB59F34A9375}">
  <sheetPr codeName="Hoja111"/>
  <dimension ref="B1:H10"/>
  <sheetViews>
    <sheetView showGridLines="0" workbookViewId="0"/>
  </sheetViews>
  <sheetFormatPr baseColWidth="10" defaultRowHeight="15" x14ac:dyDescent="0.25"/>
  <cols>
    <col min="1" max="1" width="11.42578125" style="53"/>
    <col min="2" max="2" width="2.5703125" style="53" bestFit="1" customWidth="1"/>
    <col min="3" max="3" width="5.85546875" style="53" bestFit="1" customWidth="1"/>
    <col min="4" max="4" width="26.5703125" style="53" bestFit="1" customWidth="1"/>
    <col min="5" max="6" width="12.7109375" style="53" bestFit="1" customWidth="1"/>
    <col min="7" max="7" width="15.85546875" style="53" bestFit="1" customWidth="1"/>
    <col min="8" max="8" width="13.42578125" style="54" bestFit="1" customWidth="1"/>
    <col min="9" max="9" width="13.42578125" style="53" bestFit="1" customWidth="1"/>
    <col min="10" max="16384" width="11.42578125" style="53"/>
  </cols>
  <sheetData>
    <row r="1" spans="2:8" ht="15.75" thickBot="1" x14ac:dyDescent="0.3"/>
    <row r="2" spans="2:8" ht="15.75" thickBot="1" x14ac:dyDescent="0.3">
      <c r="B2" s="1115" t="s">
        <v>1</v>
      </c>
      <c r="C2" s="1128"/>
      <c r="D2" s="1128"/>
      <c r="E2" s="1128"/>
      <c r="F2" s="1128"/>
      <c r="G2" s="1116"/>
    </row>
    <row r="3" spans="2:8" x14ac:dyDescent="0.25">
      <c r="B3" s="1380" t="s">
        <v>6</v>
      </c>
      <c r="C3" s="825" t="s">
        <v>17</v>
      </c>
      <c r="D3" s="826" t="s">
        <v>594</v>
      </c>
      <c r="E3" s="849" t="s">
        <v>67</v>
      </c>
      <c r="F3" s="849" t="s">
        <v>570</v>
      </c>
      <c r="G3" s="850" t="s">
        <v>614</v>
      </c>
    </row>
    <row r="4" spans="2:8" ht="15.75" thickBot="1" x14ac:dyDescent="0.3">
      <c r="B4" s="1381"/>
      <c r="C4" s="371" t="s">
        <v>11</v>
      </c>
      <c r="D4" s="372" t="s">
        <v>0</v>
      </c>
      <c r="E4" s="372" t="s">
        <v>10</v>
      </c>
      <c r="F4" s="372" t="s">
        <v>10</v>
      </c>
      <c r="G4" s="373" t="s">
        <v>10</v>
      </c>
    </row>
    <row r="5" spans="2:8" s="69" customFormat="1" ht="15.75" thickBot="1" x14ac:dyDescent="0.3">
      <c r="B5" s="62">
        <v>1</v>
      </c>
      <c r="C5" s="63">
        <v>1</v>
      </c>
      <c r="D5" s="792" t="s">
        <v>219</v>
      </c>
      <c r="E5" s="374">
        <v>106.14</v>
      </c>
      <c r="F5" s="374">
        <v>95</v>
      </c>
      <c r="G5" s="375">
        <v>71.304299999999998</v>
      </c>
      <c r="H5" s="68"/>
    </row>
    <row r="6" spans="2:8" s="54" customFormat="1" x14ac:dyDescent="0.25">
      <c r="B6" s="1132" t="s">
        <v>4</v>
      </c>
      <c r="C6" s="1133"/>
      <c r="D6" s="1133"/>
      <c r="E6" s="827">
        <f>SUM(E5:E5)</f>
        <v>106.14</v>
      </c>
      <c r="F6" s="827">
        <f>SUM(F5:F5)</f>
        <v>95</v>
      </c>
      <c r="G6" s="828">
        <f>SUM(G5:G5)</f>
        <v>71.304299999999998</v>
      </c>
    </row>
    <row r="7" spans="2:8" s="54" customFormat="1" x14ac:dyDescent="0.25">
      <c r="B7" s="1123" t="s">
        <v>2</v>
      </c>
      <c r="C7" s="1124"/>
      <c r="D7" s="1124"/>
      <c r="E7" s="829">
        <f>+E6*0.15</f>
        <v>15.920999999999999</v>
      </c>
      <c r="F7" s="829">
        <f t="shared" ref="F7:G7" si="0">+F6*0.15</f>
        <v>14.25</v>
      </c>
      <c r="G7" s="830">
        <f t="shared" si="0"/>
        <v>10.695644999999999</v>
      </c>
    </row>
    <row r="8" spans="2:8" s="54" customFormat="1" ht="15.75" thickBot="1" x14ac:dyDescent="0.3">
      <c r="B8" s="1109" t="s">
        <v>3</v>
      </c>
      <c r="C8" s="1110"/>
      <c r="D8" s="1110"/>
      <c r="E8" s="831">
        <f>(E6)+E7</f>
        <v>122.06100000000001</v>
      </c>
      <c r="F8" s="831">
        <f t="shared" ref="F8:G8" si="1">(F6)+F7</f>
        <v>109.25</v>
      </c>
      <c r="G8" s="832">
        <f t="shared" si="1"/>
        <v>81.999944999999997</v>
      </c>
    </row>
    <row r="10" spans="2:8" s="54" customFormat="1" x14ac:dyDescent="0.25">
      <c r="B10" s="53"/>
      <c r="C10" s="53"/>
      <c r="D10" s="53"/>
      <c r="E10" s="53"/>
      <c r="F10" s="72"/>
      <c r="G10" s="72"/>
    </row>
  </sheetData>
  <mergeCells count="5">
    <mergeCell ref="B2:G2"/>
    <mergeCell ref="B3:B4"/>
    <mergeCell ref="B6:D6"/>
    <mergeCell ref="B7:D7"/>
    <mergeCell ref="B8:D8"/>
  </mergeCells>
  <conditionalFormatting sqref="E5:G5">
    <cfRule type="cellIs" dxfId="122" priority="252" operator="equal">
      <formula>MIN($E5:$G5)</formula>
    </cfRule>
  </conditionalFormatting>
  <pageMargins left="0.25" right="0.25" top="0.75" bottom="0.75" header="0.3" footer="0.3"/>
  <pageSetup orientation="portrait" r:id="rId1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F5549-447E-4DE1-BA1A-76BE5ABB7360}">
  <sheetPr codeName="Hoja112"/>
  <dimension ref="A1:O14"/>
  <sheetViews>
    <sheetView showGridLines="0" workbookViewId="0">
      <selection activeCell="J3" sqref="J1:M1048576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9.85546875" style="53" bestFit="1" customWidth="1"/>
    <col min="4" max="9" width="11.7109375" style="53" bestFit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615</v>
      </c>
      <c r="D2" s="1382" t="s">
        <v>51</v>
      </c>
      <c r="E2" s="1382"/>
      <c r="F2" s="1382" t="s">
        <v>618</v>
      </c>
      <c r="G2" s="1382"/>
      <c r="H2" s="1382" t="s">
        <v>49</v>
      </c>
      <c r="I2" s="1382"/>
      <c r="J2" s="1382" t="s">
        <v>329</v>
      </c>
      <c r="K2" s="1382"/>
      <c r="L2" s="1382" t="s">
        <v>49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x14ac:dyDescent="0.25">
      <c r="A4" s="62">
        <v>1</v>
      </c>
      <c r="B4" s="63">
        <v>1</v>
      </c>
      <c r="C4" s="792" t="s">
        <v>616</v>
      </c>
      <c r="D4" s="374">
        <v>6400</v>
      </c>
      <c r="E4" s="374">
        <f>+D4*B4</f>
        <v>6400</v>
      </c>
      <c r="F4" s="374" t="s">
        <v>36</v>
      </c>
      <c r="G4" s="374" t="s">
        <v>36</v>
      </c>
      <c r="H4" s="374">
        <f>5769.13/B4</f>
        <v>5769.13</v>
      </c>
      <c r="I4" s="374">
        <f t="shared" ref="I4:I6" si="0">+H4*$B4</f>
        <v>5769.13</v>
      </c>
      <c r="J4" s="374"/>
      <c r="K4" s="374">
        <f>+J4*B4</f>
        <v>0</v>
      </c>
      <c r="L4" s="374"/>
      <c r="M4" s="375">
        <f>+L4*$B4</f>
        <v>0</v>
      </c>
      <c r="N4" s="68"/>
    </row>
    <row r="5" spans="1:15" s="69" customFormat="1" x14ac:dyDescent="0.25">
      <c r="A5" s="70">
        <v>2</v>
      </c>
      <c r="B5" s="192">
        <v>1</v>
      </c>
      <c r="C5" s="777" t="s">
        <v>276</v>
      </c>
      <c r="D5" s="376">
        <v>900</v>
      </c>
      <c r="E5" s="376">
        <f t="shared" ref="E5:E6" si="1">+D5*B5</f>
        <v>900</v>
      </c>
      <c r="F5" s="376">
        <f>1600*0.9</f>
        <v>1440</v>
      </c>
      <c r="G5" s="376">
        <f>+F5*B5</f>
        <v>1440</v>
      </c>
      <c r="H5" s="376">
        <v>776.84</v>
      </c>
      <c r="I5" s="376">
        <f t="shared" si="0"/>
        <v>776.84</v>
      </c>
      <c r="J5" s="376"/>
      <c r="K5" s="376">
        <f t="shared" ref="K5:K6" si="2">+J5*B5</f>
        <v>0</v>
      </c>
      <c r="L5" s="376"/>
      <c r="M5" s="377">
        <f>+L5*$B5</f>
        <v>0</v>
      </c>
      <c r="N5" s="68"/>
    </row>
    <row r="6" spans="1:15" s="69" customFormat="1" ht="15.75" thickBot="1" x14ac:dyDescent="0.3">
      <c r="A6" s="70">
        <v>3</v>
      </c>
      <c r="B6" s="192">
        <v>1</v>
      </c>
      <c r="C6" s="777" t="s">
        <v>617</v>
      </c>
      <c r="D6" s="376">
        <v>300</v>
      </c>
      <c r="E6" s="376">
        <f t="shared" si="1"/>
        <v>300</v>
      </c>
      <c r="F6" s="376">
        <f>260*0.9</f>
        <v>234</v>
      </c>
      <c r="G6" s="376">
        <f>+F6*B6</f>
        <v>234</v>
      </c>
      <c r="H6" s="376">
        <v>265.48</v>
      </c>
      <c r="I6" s="376">
        <f t="shared" si="0"/>
        <v>265.48</v>
      </c>
      <c r="J6" s="376"/>
      <c r="K6" s="376">
        <f t="shared" si="2"/>
        <v>0</v>
      </c>
      <c r="L6" s="376"/>
      <c r="M6" s="377" t="s">
        <v>36</v>
      </c>
      <c r="N6" s="68"/>
    </row>
    <row r="7" spans="1:15" s="54" customFormat="1" x14ac:dyDescent="0.25">
      <c r="A7" s="1132" t="s">
        <v>4</v>
      </c>
      <c r="B7" s="1133"/>
      <c r="C7" s="1133"/>
      <c r="D7" s="1378">
        <f>SUM(E4:E6)</f>
        <v>7600</v>
      </c>
      <c r="E7" s="1378"/>
      <c r="F7" s="1378">
        <f>SUM(G4:G6)</f>
        <v>1674</v>
      </c>
      <c r="G7" s="1378"/>
      <c r="H7" s="1528">
        <f>SUM(I4:I6)</f>
        <v>6811.4500000000007</v>
      </c>
      <c r="I7" s="1528"/>
      <c r="J7" s="1528">
        <f>SUM(K4:K6)</f>
        <v>0</v>
      </c>
      <c r="K7" s="1528"/>
      <c r="L7" s="1378">
        <f>SUM(M4:M6)</f>
        <v>0</v>
      </c>
      <c r="M7" s="1379"/>
    </row>
    <row r="8" spans="1:15" s="54" customFormat="1" x14ac:dyDescent="0.25">
      <c r="A8" s="1123" t="s">
        <v>5</v>
      </c>
      <c r="B8" s="1124"/>
      <c r="C8" s="1124"/>
      <c r="D8" s="1374">
        <v>0</v>
      </c>
      <c r="E8" s="1374"/>
      <c r="F8" s="1376">
        <v>0.1</v>
      </c>
      <c r="G8" s="1376"/>
      <c r="H8" s="1374">
        <v>0</v>
      </c>
      <c r="I8" s="1374"/>
      <c r="J8" s="1374"/>
      <c r="K8" s="1374"/>
      <c r="L8" s="1374"/>
      <c r="M8" s="1375"/>
    </row>
    <row r="9" spans="1:15" s="54" customFormat="1" x14ac:dyDescent="0.25">
      <c r="A9" s="1123" t="s">
        <v>2</v>
      </c>
      <c r="B9" s="1124"/>
      <c r="C9" s="1124"/>
      <c r="D9" s="1374">
        <v>0</v>
      </c>
      <c r="E9" s="1374"/>
      <c r="F9" s="1374">
        <v>0</v>
      </c>
      <c r="G9" s="1374"/>
      <c r="H9" s="1374">
        <f>+H7*0.15</f>
        <v>1021.7175000000001</v>
      </c>
      <c r="I9" s="1374"/>
      <c r="J9" s="1374">
        <v>0</v>
      </c>
      <c r="K9" s="1374"/>
      <c r="L9" s="1374">
        <v>0</v>
      </c>
      <c r="M9" s="1375"/>
    </row>
    <row r="10" spans="1:15" s="54" customFormat="1" ht="15.75" thickBot="1" x14ac:dyDescent="0.3">
      <c r="A10" s="1109" t="s">
        <v>3</v>
      </c>
      <c r="B10" s="1110"/>
      <c r="C10" s="1110"/>
      <c r="D10" s="1372">
        <f>(D7)+D9</f>
        <v>7600</v>
      </c>
      <c r="E10" s="1372"/>
      <c r="F10" s="1372">
        <f>(F7)+F9</f>
        <v>1674</v>
      </c>
      <c r="G10" s="1372"/>
      <c r="H10" s="1372">
        <f t="shared" ref="H10:J10" si="3">(H7)+H9</f>
        <v>7833.1675000000005</v>
      </c>
      <c r="I10" s="1372"/>
      <c r="J10" s="1372">
        <f t="shared" si="3"/>
        <v>0</v>
      </c>
      <c r="K10" s="1372"/>
      <c r="L10" s="1372">
        <f t="shared" ref="L10" si="4">(L7)+L9</f>
        <v>0</v>
      </c>
      <c r="M10" s="1373"/>
    </row>
    <row r="12" spans="1:15" s="54" customFormat="1" x14ac:dyDescent="0.25">
      <c r="A12" s="53"/>
      <c r="B12" s="53"/>
      <c r="C12" s="53"/>
      <c r="D12" s="53"/>
      <c r="E12" s="72"/>
      <c r="F12" s="72"/>
      <c r="G12" s="72"/>
      <c r="H12" s="53"/>
      <c r="I12" s="72"/>
      <c r="J12" s="72"/>
      <c r="K12" s="72"/>
      <c r="L12" s="53"/>
      <c r="M12" s="72"/>
    </row>
    <row r="14" spans="1:15" s="54" customFormat="1" x14ac:dyDescent="0.25">
      <c r="A14" s="53"/>
      <c r="B14" s="53"/>
      <c r="C14" s="53"/>
      <c r="D14" s="53"/>
      <c r="E14" s="53"/>
      <c r="F14" s="53"/>
      <c r="G14" s="413"/>
      <c r="H14" s="53"/>
      <c r="I14" s="53"/>
      <c r="J14" s="53"/>
      <c r="K14" s="53"/>
      <c r="L14" s="53"/>
      <c r="M14" s="53"/>
      <c r="O14" s="53"/>
    </row>
  </sheetData>
  <mergeCells count="31">
    <mergeCell ref="A1:M1"/>
    <mergeCell ref="A2:A3"/>
    <mergeCell ref="D2:E2"/>
    <mergeCell ref="F2:G2"/>
    <mergeCell ref="H2:I2"/>
    <mergeCell ref="J2:K2"/>
    <mergeCell ref="L2:M2"/>
    <mergeCell ref="L8:M8"/>
    <mergeCell ref="A7:C7"/>
    <mergeCell ref="D7:E7"/>
    <mergeCell ref="F7:G7"/>
    <mergeCell ref="H7:I7"/>
    <mergeCell ref="J7:K7"/>
    <mergeCell ref="L7:M7"/>
    <mergeCell ref="A8:C8"/>
    <mergeCell ref="D8:E8"/>
    <mergeCell ref="F8:G8"/>
    <mergeCell ref="H8:I8"/>
    <mergeCell ref="J8:K8"/>
    <mergeCell ref="L10:M10"/>
    <mergeCell ref="A9:C9"/>
    <mergeCell ref="D9:E9"/>
    <mergeCell ref="F9:G9"/>
    <mergeCell ref="H9:I9"/>
    <mergeCell ref="J9:K9"/>
    <mergeCell ref="L9:M9"/>
    <mergeCell ref="A10:C10"/>
    <mergeCell ref="D10:E10"/>
    <mergeCell ref="F10:G10"/>
    <mergeCell ref="H10:I10"/>
    <mergeCell ref="J10:K10"/>
  </mergeCells>
  <conditionalFormatting sqref="E4:E6 M4:M6 G5:G6 I4:I6 K4:K6">
    <cfRule type="expression" dxfId="121" priority="3">
      <formula>D4=""</formula>
    </cfRule>
  </conditionalFormatting>
  <conditionalFormatting sqref="E4:E6 K4:K6 M4:M6 G4:G6 I4:I6">
    <cfRule type="expression" dxfId="120" priority="4">
      <formula>D4=MIN($D4,$F4,$H4,$J4,$L4)</formula>
    </cfRule>
  </conditionalFormatting>
  <conditionalFormatting sqref="G4">
    <cfRule type="expression" dxfId="119" priority="1">
      <formula>F4=""</formula>
    </cfRule>
  </conditionalFormatting>
  <conditionalFormatting sqref="G4 K4:K6">
    <cfRule type="expression" dxfId="118" priority="2">
      <formula>F4=MIN($D4,$F4,$H4,$L4)</formula>
    </cfRule>
  </conditionalFormatting>
  <pageMargins left="0.25" right="0.25" top="0.75" bottom="0.75" header="0.3" footer="0.3"/>
  <pageSetup orientation="portrait" r:id="rId1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9BAE0-5AA1-487B-97A5-2FED0CD245A8}">
  <sheetPr codeName="Hoja113"/>
  <dimension ref="A1:O19"/>
  <sheetViews>
    <sheetView showGridLines="0" workbookViewId="0">
      <selection activeCell="G18" sqref="G18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24.85546875" style="53" bestFit="1" customWidth="1"/>
    <col min="4" max="9" width="10.140625" style="53" bestFit="1" customWidth="1"/>
    <col min="10" max="11" width="9.140625" style="53" bestFit="1" customWidth="1"/>
    <col min="12" max="13" width="10.140625" style="53" bestFit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619</v>
      </c>
      <c r="D2" s="1382" t="s">
        <v>570</v>
      </c>
      <c r="E2" s="1382"/>
      <c r="F2" s="1382" t="s">
        <v>598</v>
      </c>
      <c r="G2" s="1382"/>
      <c r="H2" s="1382" t="s">
        <v>67</v>
      </c>
      <c r="I2" s="1382"/>
      <c r="J2" s="1382" t="s">
        <v>333</v>
      </c>
      <c r="K2" s="1382"/>
      <c r="L2" s="1382" t="s">
        <v>66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x14ac:dyDescent="0.25">
      <c r="A4" s="62">
        <v>1</v>
      </c>
      <c r="B4" s="851" t="s">
        <v>620</v>
      </c>
      <c r="C4" s="792" t="s">
        <v>621</v>
      </c>
      <c r="D4" s="374">
        <v>360</v>
      </c>
      <c r="E4" s="374">
        <v>360</v>
      </c>
      <c r="F4" s="374">
        <f>7.0084*35.58</f>
        <v>249.35887199999999</v>
      </c>
      <c r="G4" s="374">
        <f>+F4</f>
        <v>249.35887199999999</v>
      </c>
      <c r="H4" s="374" t="s">
        <v>36</v>
      </c>
      <c r="I4" s="374" t="s">
        <v>36</v>
      </c>
      <c r="J4" s="374" t="s">
        <v>36</v>
      </c>
      <c r="K4" s="374" t="s">
        <v>36</v>
      </c>
      <c r="L4" s="374">
        <v>335</v>
      </c>
      <c r="M4" s="375">
        <f>+L4</f>
        <v>335</v>
      </c>
      <c r="N4" s="68"/>
    </row>
    <row r="5" spans="1:15" s="69" customFormat="1" x14ac:dyDescent="0.25">
      <c r="A5" s="70">
        <v>2</v>
      </c>
      <c r="B5" s="192">
        <v>12</v>
      </c>
      <c r="C5" s="777" t="s">
        <v>622</v>
      </c>
      <c r="D5" s="376" t="s">
        <v>36</v>
      </c>
      <c r="E5" s="376" t="s">
        <v>36</v>
      </c>
      <c r="F5" s="376" t="s">
        <v>36</v>
      </c>
      <c r="G5" s="376" t="s">
        <v>36</v>
      </c>
      <c r="H5" s="376" t="s">
        <v>36</v>
      </c>
      <c r="I5" s="376" t="s">
        <v>36</v>
      </c>
      <c r="J5" s="374" t="s">
        <v>36</v>
      </c>
      <c r="K5" s="374" t="s">
        <v>36</v>
      </c>
      <c r="L5" s="376">
        <v>5</v>
      </c>
      <c r="M5" s="377">
        <f>+L5*$B5</f>
        <v>60</v>
      </c>
      <c r="N5" s="68"/>
    </row>
    <row r="6" spans="1:15" s="69" customFormat="1" x14ac:dyDescent="0.25">
      <c r="A6" s="70">
        <v>3</v>
      </c>
      <c r="B6" s="192">
        <v>1</v>
      </c>
      <c r="C6" s="777" t="s">
        <v>623</v>
      </c>
      <c r="D6" s="376">
        <v>202</v>
      </c>
      <c r="E6" s="376">
        <f t="shared" ref="E6:E8" si="0">+D6*B6</f>
        <v>202</v>
      </c>
      <c r="F6" s="376">
        <f>4.6296*35.58</f>
        <v>164.72116799999998</v>
      </c>
      <c r="G6" s="376">
        <f>+F6*B6</f>
        <v>164.72116799999998</v>
      </c>
      <c r="H6" s="376">
        <v>136.25219999999999</v>
      </c>
      <c r="I6" s="376">
        <f t="shared" ref="I6:I10" si="1">+H6*$B6</f>
        <v>136.25219999999999</v>
      </c>
      <c r="J6" s="374" t="s">
        <v>36</v>
      </c>
      <c r="K6" s="374" t="s">
        <v>36</v>
      </c>
      <c r="L6" s="376">
        <v>245</v>
      </c>
      <c r="M6" s="377">
        <f>+L6</f>
        <v>245</v>
      </c>
      <c r="N6" s="68"/>
    </row>
    <row r="7" spans="1:15" s="69" customFormat="1" x14ac:dyDescent="0.25">
      <c r="A7" s="70">
        <v>4</v>
      </c>
      <c r="B7" s="192">
        <v>12</v>
      </c>
      <c r="C7" s="777" t="s">
        <v>627</v>
      </c>
      <c r="D7" s="376" t="s">
        <v>36</v>
      </c>
      <c r="E7" s="376" t="s">
        <v>36</v>
      </c>
      <c r="F7" s="376">
        <f>0.0062*35.58</f>
        <v>0.22059599999999999</v>
      </c>
      <c r="G7" s="376">
        <f>+F7*B7</f>
        <v>2.6471519999999997</v>
      </c>
      <c r="H7" s="376" t="s">
        <v>36</v>
      </c>
      <c r="I7" s="376" t="s">
        <v>36</v>
      </c>
      <c r="J7" s="374" t="s">
        <v>36</v>
      </c>
      <c r="K7" s="374" t="s">
        <v>36</v>
      </c>
      <c r="L7" s="376">
        <f>7/B7</f>
        <v>0.58333333333333337</v>
      </c>
      <c r="M7" s="377">
        <f>+L7*B7</f>
        <v>7</v>
      </c>
      <c r="N7" s="68"/>
      <c r="O7" s="778"/>
    </row>
    <row r="8" spans="1:15" s="69" customFormat="1" x14ac:dyDescent="0.25">
      <c r="A8" s="70">
        <v>5</v>
      </c>
      <c r="B8" s="192">
        <v>1</v>
      </c>
      <c r="C8" s="777" t="s">
        <v>624</v>
      </c>
      <c r="D8" s="376">
        <v>145</v>
      </c>
      <c r="E8" s="376">
        <f t="shared" si="0"/>
        <v>145</v>
      </c>
      <c r="F8" s="376">
        <f>3.885*35.58</f>
        <v>138.22829999999999</v>
      </c>
      <c r="G8" s="376">
        <f t="shared" ref="G8" si="2">+F8*B8</f>
        <v>138.22829999999999</v>
      </c>
      <c r="H8" s="376">
        <v>102.1883</v>
      </c>
      <c r="I8" s="376">
        <f t="shared" si="1"/>
        <v>102.1883</v>
      </c>
      <c r="J8" s="376">
        <v>60.67</v>
      </c>
      <c r="K8" s="376">
        <f t="shared" ref="K8:K11" si="3">+J8*B8</f>
        <v>60.67</v>
      </c>
      <c r="L8" s="376">
        <v>140</v>
      </c>
      <c r="M8" s="377">
        <f>+L8*$B8</f>
        <v>140</v>
      </c>
      <c r="N8" s="68"/>
    </row>
    <row r="9" spans="1:15" s="69" customFormat="1" x14ac:dyDescent="0.25">
      <c r="A9" s="70">
        <v>6</v>
      </c>
      <c r="B9" s="192">
        <v>6</v>
      </c>
      <c r="C9" s="777" t="s">
        <v>628</v>
      </c>
      <c r="D9" s="376" t="s">
        <v>36</v>
      </c>
      <c r="E9" s="376" t="s">
        <v>36</v>
      </c>
      <c r="F9" s="376" t="s">
        <v>36</v>
      </c>
      <c r="G9" s="376" t="s">
        <v>36</v>
      </c>
      <c r="H9" s="376" t="s">
        <v>36</v>
      </c>
      <c r="I9" s="376" t="s">
        <v>36</v>
      </c>
      <c r="J9" s="376" t="s">
        <v>36</v>
      </c>
      <c r="K9" s="376" t="s">
        <v>36</v>
      </c>
      <c r="L9" s="376">
        <f>28/B9</f>
        <v>4.666666666666667</v>
      </c>
      <c r="M9" s="377">
        <f>+L9*B9</f>
        <v>28</v>
      </c>
      <c r="N9" s="68"/>
    </row>
    <row r="10" spans="1:15" s="69" customFormat="1" x14ac:dyDescent="0.25">
      <c r="A10" s="70">
        <v>7</v>
      </c>
      <c r="B10" s="192">
        <v>12</v>
      </c>
      <c r="C10" s="777" t="s">
        <v>625</v>
      </c>
      <c r="D10" s="376">
        <v>10</v>
      </c>
      <c r="E10" s="376">
        <f t="shared" ref="E10:E11" si="4">+D10*B10</f>
        <v>120</v>
      </c>
      <c r="F10" s="376">
        <f>0.0694*35.58</f>
        <v>2.469252</v>
      </c>
      <c r="G10" s="376">
        <f t="shared" ref="G10:G11" si="5">+F10*B10</f>
        <v>29.631024</v>
      </c>
      <c r="H10" s="376">
        <v>4.0540000000000003</v>
      </c>
      <c r="I10" s="376">
        <f t="shared" si="1"/>
        <v>48.648000000000003</v>
      </c>
      <c r="J10" s="376">
        <v>5.2</v>
      </c>
      <c r="K10" s="376">
        <f t="shared" si="3"/>
        <v>62.400000000000006</v>
      </c>
      <c r="L10" s="376">
        <v>6</v>
      </c>
      <c r="M10" s="377">
        <f>+L10*$B10</f>
        <v>72</v>
      </c>
      <c r="N10" s="68"/>
    </row>
    <row r="11" spans="1:15" s="69" customFormat="1" ht="15.75" thickBot="1" x14ac:dyDescent="0.3">
      <c r="A11" s="70">
        <v>8</v>
      </c>
      <c r="B11" s="192">
        <v>20</v>
      </c>
      <c r="C11" s="777" t="s">
        <v>626</v>
      </c>
      <c r="D11" s="376">
        <v>0.6</v>
      </c>
      <c r="E11" s="376">
        <f t="shared" si="4"/>
        <v>12</v>
      </c>
      <c r="F11" s="376">
        <f>0.0169*35.58</f>
        <v>0.60130199999999989</v>
      </c>
      <c r="G11" s="376">
        <f t="shared" si="5"/>
        <v>12.026039999999998</v>
      </c>
      <c r="H11" s="376" t="s">
        <v>36</v>
      </c>
      <c r="I11" s="376" t="s">
        <v>36</v>
      </c>
      <c r="J11" s="376">
        <v>0.38</v>
      </c>
      <c r="K11" s="376">
        <f t="shared" si="3"/>
        <v>7.6</v>
      </c>
      <c r="L11" s="376">
        <f>16/B11</f>
        <v>0.8</v>
      </c>
      <c r="M11" s="377">
        <f>+L11*B11</f>
        <v>16</v>
      </c>
      <c r="N11" s="68"/>
    </row>
    <row r="12" spans="1:15" s="54" customFormat="1" x14ac:dyDescent="0.25">
      <c r="A12" s="1132" t="s">
        <v>4</v>
      </c>
      <c r="B12" s="1133"/>
      <c r="C12" s="1133"/>
      <c r="D12" s="1378">
        <f>SUM(E4:E11)</f>
        <v>839</v>
      </c>
      <c r="E12" s="1378"/>
      <c r="F12" s="1378">
        <f>SUM(G4:G11)</f>
        <v>596.61255599999993</v>
      </c>
      <c r="G12" s="1378"/>
      <c r="H12" s="1528">
        <f>SUM(I4:I11)</f>
        <v>287.08850000000001</v>
      </c>
      <c r="I12" s="1528"/>
      <c r="J12" s="1528">
        <f>SUM(K4:K11)</f>
        <v>130.67000000000002</v>
      </c>
      <c r="K12" s="1528"/>
      <c r="L12" s="1378">
        <f>SUM(M4:M11)</f>
        <v>903</v>
      </c>
      <c r="M12" s="1379"/>
    </row>
    <row r="13" spans="1:15" s="54" customFormat="1" x14ac:dyDescent="0.25">
      <c r="A13" s="1123" t="s">
        <v>5</v>
      </c>
      <c r="B13" s="1124"/>
      <c r="C13" s="1124"/>
      <c r="D13" s="1374">
        <v>0</v>
      </c>
      <c r="E13" s="1374"/>
      <c r="F13" s="1374">
        <v>0</v>
      </c>
      <c r="G13" s="1374"/>
      <c r="H13" s="1374">
        <v>0</v>
      </c>
      <c r="I13" s="1374"/>
      <c r="J13" s="1374"/>
      <c r="K13" s="1374"/>
      <c r="L13" s="1374"/>
      <c r="M13" s="1375"/>
    </row>
    <row r="14" spans="1:15" s="54" customFormat="1" x14ac:dyDescent="0.25">
      <c r="A14" s="1123" t="s">
        <v>2</v>
      </c>
      <c r="B14" s="1124"/>
      <c r="C14" s="1124"/>
      <c r="D14" s="1374">
        <f>+D12*0.15</f>
        <v>125.85</v>
      </c>
      <c r="E14" s="1374"/>
      <c r="F14" s="1374">
        <f>+F12*0.15</f>
        <v>89.491883399999992</v>
      </c>
      <c r="G14" s="1374"/>
      <c r="H14" s="1374">
        <f>+H12*0.15</f>
        <v>43.063274999999997</v>
      </c>
      <c r="I14" s="1374"/>
      <c r="J14" s="1374">
        <f>+J12*0.15</f>
        <v>19.6005</v>
      </c>
      <c r="K14" s="1374"/>
      <c r="L14" s="1374">
        <v>0</v>
      </c>
      <c r="M14" s="1375"/>
    </row>
    <row r="15" spans="1:15" s="54" customFormat="1" ht="15.75" thickBot="1" x14ac:dyDescent="0.3">
      <c r="A15" s="1109" t="s">
        <v>3</v>
      </c>
      <c r="B15" s="1110"/>
      <c r="C15" s="1110"/>
      <c r="D15" s="1372">
        <f>(D12)+D14</f>
        <v>964.85</v>
      </c>
      <c r="E15" s="1372"/>
      <c r="F15" s="1372">
        <f>(F12)+F14</f>
        <v>686.10443939999993</v>
      </c>
      <c r="G15" s="1372"/>
      <c r="H15" s="1372">
        <f t="shared" ref="H15:J15" si="6">(H12)+H14</f>
        <v>330.15177499999999</v>
      </c>
      <c r="I15" s="1372"/>
      <c r="J15" s="1372">
        <f t="shared" si="6"/>
        <v>150.27050000000003</v>
      </c>
      <c r="K15" s="1372"/>
      <c r="L15" s="1372">
        <f t="shared" ref="L15" si="7">(L12)+L14</f>
        <v>903</v>
      </c>
      <c r="M15" s="1373"/>
    </row>
    <row r="17" spans="1:15" s="54" customFormat="1" x14ac:dyDescent="0.25">
      <c r="A17" s="53"/>
      <c r="B17" s="53"/>
      <c r="C17" s="53"/>
      <c r="D17" s="53"/>
      <c r="E17" s="72"/>
      <c r="F17" s="72"/>
      <c r="G17" s="72"/>
      <c r="H17" s="53"/>
      <c r="I17" s="72"/>
      <c r="J17" s="72"/>
      <c r="K17" s="72"/>
      <c r="L17" s="53"/>
      <c r="M17" s="72"/>
    </row>
    <row r="18" spans="1:15" x14ac:dyDescent="0.25">
      <c r="G18" s="72"/>
    </row>
    <row r="19" spans="1:15" s="54" customFormat="1" x14ac:dyDescent="0.25">
      <c r="A19" s="53"/>
      <c r="B19" s="53"/>
      <c r="C19" s="53"/>
      <c r="D19" s="53"/>
      <c r="E19" s="53"/>
      <c r="F19" s="53"/>
      <c r="G19" s="413"/>
      <c r="H19" s="53"/>
      <c r="I19" s="53"/>
      <c r="J19" s="53"/>
      <c r="K19" s="53"/>
      <c r="L19" s="53"/>
      <c r="M19" s="53"/>
      <c r="O19" s="53"/>
    </row>
  </sheetData>
  <mergeCells count="31">
    <mergeCell ref="A1:M1"/>
    <mergeCell ref="A2:A3"/>
    <mergeCell ref="D2:E2"/>
    <mergeCell ref="F2:G2"/>
    <mergeCell ref="H2:I2"/>
    <mergeCell ref="J2:K2"/>
    <mergeCell ref="L2:M2"/>
    <mergeCell ref="L13:M13"/>
    <mergeCell ref="A12:C12"/>
    <mergeCell ref="D12:E12"/>
    <mergeCell ref="F12:G12"/>
    <mergeCell ref="H12:I12"/>
    <mergeCell ref="J12:K12"/>
    <mergeCell ref="L12:M12"/>
    <mergeCell ref="A13:C13"/>
    <mergeCell ref="D13:E13"/>
    <mergeCell ref="F13:G13"/>
    <mergeCell ref="H13:I13"/>
    <mergeCell ref="J13:K13"/>
    <mergeCell ref="L15:M15"/>
    <mergeCell ref="A14:C14"/>
    <mergeCell ref="D14:E14"/>
    <mergeCell ref="F14:G14"/>
    <mergeCell ref="H14:I14"/>
    <mergeCell ref="J14:K14"/>
    <mergeCell ref="L14:M14"/>
    <mergeCell ref="A15:C15"/>
    <mergeCell ref="D15:E15"/>
    <mergeCell ref="F15:G15"/>
    <mergeCell ref="H15:I15"/>
    <mergeCell ref="J15:K15"/>
  </mergeCells>
  <conditionalFormatting sqref="E4:E11 M4:M11 G5:G11 I4:I11 K4:K11">
    <cfRule type="expression" dxfId="117" priority="5">
      <formula>D4=""</formula>
    </cfRule>
  </conditionalFormatting>
  <conditionalFormatting sqref="E4:E11 M4:M11 G4:G11 I4:I11 K4:K11">
    <cfRule type="expression" dxfId="116" priority="6">
      <formula>D4=MIN($D4,$F4,$H4,$J4,$L4)</formula>
    </cfRule>
  </conditionalFormatting>
  <conditionalFormatting sqref="G4">
    <cfRule type="expression" dxfId="115" priority="3">
      <formula>F4=""</formula>
    </cfRule>
  </conditionalFormatting>
  <conditionalFormatting sqref="G4 K4:K11">
    <cfRule type="expression" dxfId="114" priority="4">
      <formula>F4=MIN($D4,$F4,$H4,$L4)</formula>
    </cfRule>
  </conditionalFormatting>
  <pageMargins left="0.25" right="0.25" top="0.75" bottom="0.75" header="0.3" footer="0.3"/>
  <pageSetup orientation="landscape" r:id="rId1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6C4AA-26E3-4089-9EC0-6B8BBFB8F6B9}">
  <sheetPr codeName="Hoja114"/>
  <dimension ref="A2:H14"/>
  <sheetViews>
    <sheetView showGridLines="0" workbookViewId="0">
      <selection activeCell="A3" sqref="A3:G3"/>
    </sheetView>
  </sheetViews>
  <sheetFormatPr baseColWidth="10" defaultRowHeight="18.75" x14ac:dyDescent="0.3"/>
  <cols>
    <col min="1" max="1" width="3.5703125" style="518" bestFit="1" customWidth="1"/>
    <col min="2" max="2" width="7.5703125" style="518" bestFit="1" customWidth="1"/>
    <col min="3" max="3" width="23" style="518" bestFit="1" customWidth="1"/>
    <col min="4" max="4" width="15.85546875" style="518" bestFit="1" customWidth="1"/>
    <col min="5" max="5" width="17.42578125" style="518" bestFit="1" customWidth="1"/>
    <col min="6" max="6" width="15.85546875" style="518" bestFit="1" customWidth="1"/>
    <col min="7" max="7" width="17.42578125" style="518" bestFit="1" customWidth="1"/>
    <col min="8" max="8" width="13.42578125" style="519" bestFit="1" customWidth="1"/>
    <col min="9" max="9" width="13.42578125" style="518" bestFit="1" customWidth="1"/>
    <col min="10" max="16384" width="11.42578125" style="518"/>
  </cols>
  <sheetData>
    <row r="2" spans="1:8" ht="19.5" thickBot="1" x14ac:dyDescent="0.35"/>
    <row r="3" spans="1:8" s="521" customFormat="1" ht="19.5" thickBot="1" x14ac:dyDescent="0.35">
      <c r="A3" s="1554" t="s">
        <v>1</v>
      </c>
      <c r="B3" s="1555"/>
      <c r="C3" s="1555"/>
      <c r="D3" s="1556"/>
      <c r="E3" s="1556"/>
      <c r="F3" s="1556"/>
      <c r="G3" s="1557"/>
      <c r="H3" s="520"/>
    </row>
    <row r="4" spans="1:8" s="521" customFormat="1" ht="19.5" thickBot="1" x14ac:dyDescent="0.3">
      <c r="A4" s="1558" t="s">
        <v>6</v>
      </c>
      <c r="B4" s="651" t="s">
        <v>17</v>
      </c>
      <c r="C4" s="652" t="s">
        <v>629</v>
      </c>
      <c r="D4" s="1559" t="s">
        <v>272</v>
      </c>
      <c r="E4" s="1560"/>
      <c r="F4" s="1561" t="s">
        <v>211</v>
      </c>
      <c r="G4" s="1560"/>
      <c r="H4" s="520"/>
    </row>
    <row r="5" spans="1:8" s="521" customFormat="1" ht="19.5" thickBot="1" x14ac:dyDescent="0.3">
      <c r="A5" s="1479"/>
      <c r="B5" s="654" t="s">
        <v>11</v>
      </c>
      <c r="C5" s="655" t="s">
        <v>0</v>
      </c>
      <c r="D5" s="784" t="s">
        <v>14</v>
      </c>
      <c r="E5" s="853" t="s">
        <v>10</v>
      </c>
      <c r="F5" s="784" t="s">
        <v>14</v>
      </c>
      <c r="G5" s="852" t="s">
        <v>10</v>
      </c>
      <c r="H5" s="520"/>
    </row>
    <row r="6" spans="1:8" s="523" customFormat="1" x14ac:dyDescent="0.3">
      <c r="A6" s="785">
        <v>1</v>
      </c>
      <c r="B6" s="786">
        <v>72</v>
      </c>
      <c r="C6" s="787" t="s">
        <v>268</v>
      </c>
      <c r="D6" s="788">
        <v>175.82</v>
      </c>
      <c r="E6" s="790">
        <f>+D6*B6</f>
        <v>12659.039999999999</v>
      </c>
      <c r="F6" s="788">
        <v>160</v>
      </c>
      <c r="G6" s="820">
        <f>+F6*B6</f>
        <v>11520</v>
      </c>
      <c r="H6" s="522"/>
    </row>
    <row r="7" spans="1:8" s="523" customFormat="1" ht="19.5" thickBot="1" x14ac:dyDescent="0.35">
      <c r="A7" s="785">
        <v>2</v>
      </c>
      <c r="B7" s="786">
        <v>36</v>
      </c>
      <c r="C7" s="787" t="s">
        <v>269</v>
      </c>
      <c r="D7" s="788">
        <v>66.2</v>
      </c>
      <c r="E7" s="790">
        <f t="shared" ref="E7" si="0">+D7*B7</f>
        <v>2383.2000000000003</v>
      </c>
      <c r="F7" s="788">
        <v>75</v>
      </c>
      <c r="G7" s="820">
        <f t="shared" ref="G7" si="1">+F7*B7</f>
        <v>2700</v>
      </c>
      <c r="H7" s="522"/>
    </row>
    <row r="8" spans="1:8" x14ac:dyDescent="0.3">
      <c r="A8" s="1562" t="s">
        <v>4</v>
      </c>
      <c r="B8" s="1563"/>
      <c r="C8" s="1564"/>
      <c r="D8" s="1565">
        <f>SUM(E6:E7)</f>
        <v>15042.24</v>
      </c>
      <c r="E8" s="1566"/>
      <c r="F8" s="1565">
        <f>SUM(G6:G7)</f>
        <v>14220</v>
      </c>
      <c r="G8" s="1567"/>
    </row>
    <row r="9" spans="1:8" x14ac:dyDescent="0.3">
      <c r="A9" s="1547" t="s">
        <v>87</v>
      </c>
      <c r="B9" s="1548"/>
      <c r="C9" s="1549"/>
      <c r="D9" s="1550">
        <v>0</v>
      </c>
      <c r="E9" s="1551"/>
      <c r="F9" s="1550">
        <v>0</v>
      </c>
      <c r="G9" s="1552"/>
    </row>
    <row r="10" spans="1:8" x14ac:dyDescent="0.3">
      <c r="A10" s="1441" t="s">
        <v>2</v>
      </c>
      <c r="B10" s="1442"/>
      <c r="C10" s="1553"/>
      <c r="D10" s="1550">
        <f>(D8-D9)*15%</f>
        <v>2256.3359999999998</v>
      </c>
      <c r="E10" s="1551"/>
      <c r="F10" s="1550">
        <f>(F8+F9)*15%</f>
        <v>2133</v>
      </c>
      <c r="G10" s="1552"/>
    </row>
    <row r="11" spans="1:8" ht="19.5" thickBot="1" x14ac:dyDescent="0.35">
      <c r="A11" s="1439" t="s">
        <v>3</v>
      </c>
      <c r="B11" s="1440"/>
      <c r="C11" s="1542"/>
      <c r="D11" s="1543">
        <f>(D8-D9)+D10</f>
        <v>17298.576000000001</v>
      </c>
      <c r="E11" s="1544"/>
      <c r="F11" s="1543">
        <f>(F8+F9)+F10</f>
        <v>16353</v>
      </c>
      <c r="G11" s="1545"/>
    </row>
    <row r="13" spans="1:8" x14ac:dyDescent="0.3">
      <c r="D13" s="1546"/>
      <c r="E13" s="1546"/>
      <c r="G13" s="524"/>
    </row>
    <row r="14" spans="1:8" x14ac:dyDescent="0.3">
      <c r="E14" s="524"/>
    </row>
  </sheetData>
  <mergeCells count="17">
    <mergeCell ref="A3:G3"/>
    <mergeCell ref="A4:A5"/>
    <mergeCell ref="D4:E4"/>
    <mergeCell ref="F4:G4"/>
    <mergeCell ref="A8:C8"/>
    <mergeCell ref="D8:E8"/>
    <mergeCell ref="F8:G8"/>
    <mergeCell ref="A11:C11"/>
    <mergeCell ref="D11:E11"/>
    <mergeCell ref="F11:G11"/>
    <mergeCell ref="D13:E13"/>
    <mergeCell ref="A9:C9"/>
    <mergeCell ref="D9:E9"/>
    <mergeCell ref="F9:G9"/>
    <mergeCell ref="A10:C10"/>
    <mergeCell ref="D10:E10"/>
    <mergeCell ref="F10:G10"/>
  </mergeCells>
  <pageMargins left="0.25" right="0.25" top="0.75" bottom="0.75" header="0.3" footer="0.3"/>
  <pageSetup orientation="portrait" r:id="rId1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87B85-ABB4-4301-8913-0BB8B3E5F17F}">
  <sheetPr codeName="Hoja115"/>
  <dimension ref="A1:O20"/>
  <sheetViews>
    <sheetView showGridLines="0" workbookViewId="0">
      <selection activeCell="C4" sqref="C4"/>
    </sheetView>
  </sheetViews>
  <sheetFormatPr baseColWidth="10" defaultRowHeight="15" x14ac:dyDescent="0.25"/>
  <cols>
    <col min="1" max="1" width="3.5703125" style="53" bestFit="1" customWidth="1"/>
    <col min="2" max="2" width="5.85546875" style="53" bestFit="1" customWidth="1"/>
    <col min="3" max="3" width="23.42578125" style="53" bestFit="1" customWidth="1"/>
    <col min="4" max="7" width="11.7109375" style="53" bestFit="1" customWidth="1"/>
    <col min="8" max="9" width="11.7109375" style="53" hidden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631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630</v>
      </c>
      <c r="D2" s="1382" t="s">
        <v>641</v>
      </c>
      <c r="E2" s="1382"/>
      <c r="F2" s="1382" t="s">
        <v>566</v>
      </c>
      <c r="G2" s="1382"/>
      <c r="H2" s="1382" t="s">
        <v>438</v>
      </c>
      <c r="I2" s="1382"/>
      <c r="J2" s="1382" t="s">
        <v>329</v>
      </c>
      <c r="K2" s="1382"/>
      <c r="L2" s="1382" t="s">
        <v>49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x14ac:dyDescent="0.25">
      <c r="A4" s="62">
        <v>1</v>
      </c>
      <c r="B4" s="63">
        <v>10000</v>
      </c>
      <c r="C4" s="792" t="s">
        <v>632</v>
      </c>
      <c r="D4" s="374">
        <v>0.35</v>
      </c>
      <c r="E4" s="374">
        <f>+D4*B4</f>
        <v>3500</v>
      </c>
      <c r="F4" s="374">
        <f>4250/B4</f>
        <v>0.42499999999999999</v>
      </c>
      <c r="G4" s="374">
        <f>+F4*B4</f>
        <v>4250</v>
      </c>
      <c r="H4" s="374"/>
      <c r="I4" s="374">
        <f t="shared" ref="I4:I12" si="0">+H4*$B4</f>
        <v>0</v>
      </c>
      <c r="J4" s="374"/>
      <c r="K4" s="374">
        <f>+J4*B4</f>
        <v>0</v>
      </c>
      <c r="L4" s="374"/>
      <c r="M4" s="375">
        <f>+L4*$B4</f>
        <v>0</v>
      </c>
      <c r="N4" s="68"/>
    </row>
    <row r="5" spans="1:15" s="69" customFormat="1" x14ac:dyDescent="0.25">
      <c r="A5" s="70">
        <v>2</v>
      </c>
      <c r="B5" s="63">
        <v>10000</v>
      </c>
      <c r="C5" s="777" t="s">
        <v>633</v>
      </c>
      <c r="D5" s="374">
        <v>0.35</v>
      </c>
      <c r="E5" s="376">
        <f t="shared" ref="E5:E8" si="1">+D5*B5</f>
        <v>3500</v>
      </c>
      <c r="F5" s="374">
        <f t="shared" ref="F5:F8" si="2">4250/B5</f>
        <v>0.42499999999999999</v>
      </c>
      <c r="G5" s="376">
        <f>+F5*B5</f>
        <v>4250</v>
      </c>
      <c r="H5" s="376"/>
      <c r="I5" s="376">
        <f t="shared" si="0"/>
        <v>0</v>
      </c>
      <c r="J5" s="376"/>
      <c r="K5" s="376">
        <f t="shared" ref="K5:K12" si="3">+J5*B5</f>
        <v>0</v>
      </c>
      <c r="L5" s="376"/>
      <c r="M5" s="377">
        <f>+L5*$B5</f>
        <v>0</v>
      </c>
      <c r="N5" s="68"/>
    </row>
    <row r="6" spans="1:15" s="69" customFormat="1" x14ac:dyDescent="0.25">
      <c r="A6" s="70">
        <v>3</v>
      </c>
      <c r="B6" s="63">
        <v>10000</v>
      </c>
      <c r="C6" s="777" t="s">
        <v>634</v>
      </c>
      <c r="D6" s="374">
        <v>0.35</v>
      </c>
      <c r="E6" s="376">
        <f t="shared" si="1"/>
        <v>3500</v>
      </c>
      <c r="F6" s="374">
        <f t="shared" si="2"/>
        <v>0.42499999999999999</v>
      </c>
      <c r="G6" s="376">
        <f>+F6*B6</f>
        <v>4250</v>
      </c>
      <c r="H6" s="376"/>
      <c r="I6" s="376">
        <f t="shared" si="0"/>
        <v>0</v>
      </c>
      <c r="J6" s="376"/>
      <c r="K6" s="376">
        <f t="shared" si="3"/>
        <v>0</v>
      </c>
      <c r="L6" s="376"/>
      <c r="M6" s="377" t="s">
        <v>36</v>
      </c>
      <c r="N6" s="68"/>
    </row>
    <row r="7" spans="1:15" s="69" customFormat="1" x14ac:dyDescent="0.25">
      <c r="A7" s="70">
        <v>4</v>
      </c>
      <c r="B7" s="63">
        <v>10000</v>
      </c>
      <c r="C7" s="777" t="s">
        <v>635</v>
      </c>
      <c r="D7" s="374">
        <v>0.35</v>
      </c>
      <c r="E7" s="376">
        <f t="shared" si="1"/>
        <v>3500</v>
      </c>
      <c r="F7" s="374">
        <f t="shared" si="2"/>
        <v>0.42499999999999999</v>
      </c>
      <c r="G7" s="376">
        <f t="shared" ref="G7:G8" si="4">+F7*B7</f>
        <v>4250</v>
      </c>
      <c r="H7" s="376"/>
      <c r="I7" s="376">
        <f t="shared" si="0"/>
        <v>0</v>
      </c>
      <c r="J7" s="376"/>
      <c r="K7" s="376">
        <f t="shared" si="3"/>
        <v>0</v>
      </c>
      <c r="L7" s="376"/>
      <c r="M7" s="377">
        <f>+L7*$B7</f>
        <v>0</v>
      </c>
      <c r="N7" s="68"/>
      <c r="O7" s="778"/>
    </row>
    <row r="8" spans="1:15" s="69" customFormat="1" x14ac:dyDescent="0.25">
      <c r="A8" s="70">
        <v>5</v>
      </c>
      <c r="B8" s="63">
        <v>10000</v>
      </c>
      <c r="C8" s="777" t="s">
        <v>636</v>
      </c>
      <c r="D8" s="374">
        <v>0.28000000000000003</v>
      </c>
      <c r="E8" s="376">
        <f t="shared" si="1"/>
        <v>2800.0000000000005</v>
      </c>
      <c r="F8" s="374">
        <f t="shared" si="2"/>
        <v>0.42499999999999999</v>
      </c>
      <c r="G8" s="376">
        <f t="shared" si="4"/>
        <v>4250</v>
      </c>
      <c r="H8" s="376"/>
      <c r="I8" s="376">
        <f t="shared" si="0"/>
        <v>0</v>
      </c>
      <c r="J8" s="376"/>
      <c r="K8" s="376">
        <f t="shared" si="3"/>
        <v>0</v>
      </c>
      <c r="L8" s="376"/>
      <c r="M8" s="377">
        <f>+L8*$B8</f>
        <v>0</v>
      </c>
      <c r="N8" s="68"/>
    </row>
    <row r="9" spans="1:15" s="69" customFormat="1" x14ac:dyDescent="0.25">
      <c r="A9" s="70">
        <v>6</v>
      </c>
      <c r="B9" s="192">
        <v>5000</v>
      </c>
      <c r="C9" s="777" t="s">
        <v>637</v>
      </c>
      <c r="D9" s="376">
        <v>0.45</v>
      </c>
      <c r="E9" s="376">
        <f>+D9*B9</f>
        <v>2250</v>
      </c>
      <c r="F9" s="376">
        <f>2500/B9</f>
        <v>0.5</v>
      </c>
      <c r="G9" s="376">
        <f>+F9*B9</f>
        <v>2500</v>
      </c>
      <c r="H9" s="376"/>
      <c r="I9" s="376">
        <f t="shared" si="0"/>
        <v>0</v>
      </c>
      <c r="J9" s="376"/>
      <c r="K9" s="376">
        <f t="shared" si="3"/>
        <v>0</v>
      </c>
      <c r="L9" s="376"/>
      <c r="M9" s="377">
        <f>+L9*$B9</f>
        <v>0</v>
      </c>
      <c r="N9" s="68"/>
    </row>
    <row r="10" spans="1:15" s="69" customFormat="1" x14ac:dyDescent="0.25">
      <c r="A10" s="70">
        <v>7</v>
      </c>
      <c r="B10" s="192">
        <v>5000</v>
      </c>
      <c r="C10" s="777" t="s">
        <v>638</v>
      </c>
      <c r="D10" s="376">
        <v>0.45</v>
      </c>
      <c r="E10" s="376">
        <f t="shared" ref="E10:E12" si="5">+D10*B10</f>
        <v>2250</v>
      </c>
      <c r="F10" s="376">
        <f t="shared" ref="F10:F12" si="6">2500/B10</f>
        <v>0.5</v>
      </c>
      <c r="G10" s="376">
        <f t="shared" ref="G10:G12" si="7">+F10*B10</f>
        <v>2500</v>
      </c>
      <c r="H10" s="376"/>
      <c r="I10" s="376">
        <f t="shared" si="0"/>
        <v>0</v>
      </c>
      <c r="J10" s="376"/>
      <c r="K10" s="376">
        <f t="shared" si="3"/>
        <v>0</v>
      </c>
      <c r="L10" s="376"/>
      <c r="M10" s="377">
        <f>+L10*$B10</f>
        <v>0</v>
      </c>
      <c r="N10" s="68"/>
    </row>
    <row r="11" spans="1:15" s="69" customFormat="1" x14ac:dyDescent="0.25">
      <c r="A11" s="70">
        <v>8</v>
      </c>
      <c r="B11" s="192">
        <v>5000</v>
      </c>
      <c r="C11" s="777" t="s">
        <v>639</v>
      </c>
      <c r="D11" s="376">
        <v>0.45</v>
      </c>
      <c r="E11" s="376">
        <f t="shared" si="5"/>
        <v>2250</v>
      </c>
      <c r="F11" s="376">
        <f t="shared" si="6"/>
        <v>0.5</v>
      </c>
      <c r="G11" s="376">
        <f t="shared" si="7"/>
        <v>2500</v>
      </c>
      <c r="H11" s="376"/>
      <c r="I11" s="376">
        <f t="shared" si="0"/>
        <v>0</v>
      </c>
      <c r="J11" s="376"/>
      <c r="K11" s="376">
        <f t="shared" si="3"/>
        <v>0</v>
      </c>
      <c r="L11" s="376"/>
      <c r="M11" s="377">
        <f t="shared" ref="M11:M12" si="8">+L11*$B11</f>
        <v>0</v>
      </c>
      <c r="N11" s="68"/>
    </row>
    <row r="12" spans="1:15" s="69" customFormat="1" ht="15.75" thickBot="1" x14ac:dyDescent="0.3">
      <c r="A12" s="70">
        <v>9</v>
      </c>
      <c r="B12" s="192">
        <v>5000</v>
      </c>
      <c r="C12" s="777" t="s">
        <v>640</v>
      </c>
      <c r="D12" s="376">
        <v>0.45</v>
      </c>
      <c r="E12" s="376">
        <f t="shared" si="5"/>
        <v>2250</v>
      </c>
      <c r="F12" s="376">
        <f t="shared" si="6"/>
        <v>0.5</v>
      </c>
      <c r="G12" s="376">
        <f t="shared" si="7"/>
        <v>2500</v>
      </c>
      <c r="H12" s="376"/>
      <c r="I12" s="376">
        <f t="shared" si="0"/>
        <v>0</v>
      </c>
      <c r="J12" s="376"/>
      <c r="K12" s="376">
        <f t="shared" si="3"/>
        <v>0</v>
      </c>
      <c r="L12" s="376"/>
      <c r="M12" s="377">
        <f t="shared" si="8"/>
        <v>0</v>
      </c>
      <c r="N12" s="68"/>
    </row>
    <row r="13" spans="1:15" s="54" customFormat="1" x14ac:dyDescent="0.25">
      <c r="A13" s="1132" t="s">
        <v>4</v>
      </c>
      <c r="B13" s="1133"/>
      <c r="C13" s="1133"/>
      <c r="D13" s="1378">
        <f>SUM(E4:E12)</f>
        <v>25800</v>
      </c>
      <c r="E13" s="1378"/>
      <c r="F13" s="1378">
        <f>SUM(G4:G12)</f>
        <v>31250</v>
      </c>
      <c r="G13" s="1378"/>
      <c r="H13" s="1528">
        <f>SUM(I4:I12)</f>
        <v>0</v>
      </c>
      <c r="I13" s="1528"/>
      <c r="J13" s="1528">
        <f>SUM(K4:K12)</f>
        <v>0</v>
      </c>
      <c r="K13" s="1528"/>
      <c r="L13" s="1378">
        <f>SUM(M4:M12)</f>
        <v>0</v>
      </c>
      <c r="M13" s="1379"/>
    </row>
    <row r="14" spans="1:15" s="54" customFormat="1" x14ac:dyDescent="0.25">
      <c r="A14" s="1123" t="s">
        <v>5</v>
      </c>
      <c r="B14" s="1124"/>
      <c r="C14" s="1124"/>
      <c r="D14" s="1374">
        <v>0</v>
      </c>
      <c r="E14" s="1374"/>
      <c r="F14" s="1374">
        <v>0</v>
      </c>
      <c r="G14" s="1374"/>
      <c r="H14" s="1376">
        <v>0.1</v>
      </c>
      <c r="I14" s="1376"/>
      <c r="J14" s="1374"/>
      <c r="K14" s="1374"/>
      <c r="L14" s="1374"/>
      <c r="M14" s="1375"/>
    </row>
    <row r="15" spans="1:15" s="54" customFormat="1" x14ac:dyDescent="0.25">
      <c r="A15" s="1123" t="s">
        <v>2</v>
      </c>
      <c r="B15" s="1124"/>
      <c r="C15" s="1124"/>
      <c r="D15" s="1374">
        <f>+D13*0.15</f>
        <v>3870</v>
      </c>
      <c r="E15" s="1374"/>
      <c r="F15" s="1374">
        <v>0</v>
      </c>
      <c r="G15" s="1374"/>
      <c r="H15" s="1374">
        <v>0</v>
      </c>
      <c r="I15" s="1374"/>
      <c r="J15" s="1374">
        <v>0</v>
      </c>
      <c r="K15" s="1374"/>
      <c r="L15" s="1374">
        <v>0</v>
      </c>
      <c r="M15" s="1375"/>
    </row>
    <row r="16" spans="1:15" s="54" customFormat="1" ht="15.75" thickBot="1" x14ac:dyDescent="0.3">
      <c r="A16" s="1109" t="s">
        <v>3</v>
      </c>
      <c r="B16" s="1110"/>
      <c r="C16" s="1110"/>
      <c r="D16" s="1372">
        <f>(D13)+D15</f>
        <v>29670</v>
      </c>
      <c r="E16" s="1372"/>
      <c r="F16" s="1372">
        <f>(F13)+F15</f>
        <v>31250</v>
      </c>
      <c r="G16" s="1372"/>
      <c r="H16" s="1372">
        <f t="shared" ref="H16:J16" si="9">(H13)+H15</f>
        <v>0</v>
      </c>
      <c r="I16" s="1372"/>
      <c r="J16" s="1372">
        <f t="shared" si="9"/>
        <v>0</v>
      </c>
      <c r="K16" s="1372"/>
      <c r="L16" s="1372">
        <f t="shared" ref="L16" si="10">(L13)+L15</f>
        <v>0</v>
      </c>
      <c r="M16" s="1373"/>
    </row>
    <row r="18" spans="1:15" s="54" customFormat="1" x14ac:dyDescent="0.25">
      <c r="A18" s="53"/>
      <c r="B18" s="53"/>
      <c r="C18" s="53"/>
      <c r="D18" s="53"/>
      <c r="E18" s="72"/>
      <c r="F18" s="72"/>
      <c r="G18" s="72"/>
      <c r="H18" s="53"/>
      <c r="I18" s="72"/>
      <c r="J18" s="72"/>
      <c r="K18" s="72"/>
      <c r="L18" s="53"/>
      <c r="M18" s="72"/>
    </row>
    <row r="20" spans="1:15" s="54" customFormat="1" x14ac:dyDescent="0.25">
      <c r="A20" s="53"/>
      <c r="B20" s="53"/>
      <c r="C20" s="53"/>
      <c r="D20" s="53"/>
      <c r="E20" s="53"/>
      <c r="F20" s="53"/>
      <c r="G20" s="413"/>
      <c r="H20" s="53"/>
      <c r="I20" s="53"/>
      <c r="J20" s="53"/>
      <c r="K20" s="53"/>
      <c r="L20" s="53"/>
      <c r="M20" s="53"/>
      <c r="O20" s="53"/>
    </row>
  </sheetData>
  <mergeCells count="31">
    <mergeCell ref="A1:M1"/>
    <mergeCell ref="A2:A3"/>
    <mergeCell ref="D2:E2"/>
    <mergeCell ref="F2:G2"/>
    <mergeCell ref="H2:I2"/>
    <mergeCell ref="J2:K2"/>
    <mergeCell ref="L2:M2"/>
    <mergeCell ref="L14:M14"/>
    <mergeCell ref="A13:C13"/>
    <mergeCell ref="D13:E13"/>
    <mergeCell ref="F13:G13"/>
    <mergeCell ref="H13:I13"/>
    <mergeCell ref="J13:K13"/>
    <mergeCell ref="L13:M13"/>
    <mergeCell ref="A14:C14"/>
    <mergeCell ref="D14:E14"/>
    <mergeCell ref="F14:G14"/>
    <mergeCell ref="H14:I14"/>
    <mergeCell ref="J14:K14"/>
    <mergeCell ref="L16:M16"/>
    <mergeCell ref="A15:C15"/>
    <mergeCell ref="D15:E15"/>
    <mergeCell ref="F15:G15"/>
    <mergeCell ref="H15:I15"/>
    <mergeCell ref="J15:K15"/>
    <mergeCell ref="L15:M15"/>
    <mergeCell ref="A16:C16"/>
    <mergeCell ref="D16:E16"/>
    <mergeCell ref="F16:G16"/>
    <mergeCell ref="H16:I16"/>
    <mergeCell ref="J16:K16"/>
  </mergeCells>
  <conditionalFormatting sqref="E4:E12 M4:M12 I4:I12 K4:K12 G5:G12">
    <cfRule type="expression" dxfId="113" priority="5">
      <formula>D4=""</formula>
    </cfRule>
  </conditionalFormatting>
  <conditionalFormatting sqref="E4:E12 K4:K12 M4:M12 I4:I12 G4:G12">
    <cfRule type="expression" dxfId="112" priority="6">
      <formula>D4=MIN($D4,$F4,$H4,$J4,$L4)</formula>
    </cfRule>
  </conditionalFormatting>
  <conditionalFormatting sqref="G4">
    <cfRule type="expression" dxfId="111" priority="3">
      <formula>F4=""</formula>
    </cfRule>
  </conditionalFormatting>
  <conditionalFormatting sqref="G4 K4:K12">
    <cfRule type="expression" dxfId="110" priority="4">
      <formula>F4=MIN($D4,$F4,$H4,$L4)</formula>
    </cfRule>
  </conditionalFormatting>
  <pageMargins left="0.25" right="0.25" top="0.75" bottom="0.75" header="0.3" footer="0.3"/>
  <pageSetup orientation="portrait" r:id="rId1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42A7-136F-4D8F-AFFC-722AE1009E97}">
  <sheetPr codeName="Hoja116"/>
  <dimension ref="A1:O12"/>
  <sheetViews>
    <sheetView showGridLines="0" workbookViewId="0">
      <selection sqref="A1:M1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7.5703125" style="53" bestFit="1" customWidth="1"/>
    <col min="4" max="8" width="11.7109375" style="53" bestFit="1" customWidth="1"/>
    <col min="9" max="9" width="12.7109375" style="53" bestFit="1" customWidth="1"/>
    <col min="10" max="10" width="11.7109375" style="53" bestFit="1" customWidth="1"/>
    <col min="11" max="11" width="12.7109375" style="53" bestFit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ht="15.75" thickBot="1" x14ac:dyDescent="0.3">
      <c r="A1" s="1115" t="s">
        <v>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5" x14ac:dyDescent="0.25">
      <c r="A2" s="1380" t="s">
        <v>6</v>
      </c>
      <c r="B2" s="369" t="s">
        <v>17</v>
      </c>
      <c r="C2" s="370" t="s">
        <v>642</v>
      </c>
      <c r="D2" s="1382" t="s">
        <v>598</v>
      </c>
      <c r="E2" s="1382"/>
      <c r="F2" s="1382" t="s">
        <v>644</v>
      </c>
      <c r="G2" s="1382"/>
      <c r="H2" s="1382" t="s">
        <v>66</v>
      </c>
      <c r="I2" s="1382"/>
      <c r="J2" s="1382" t="s">
        <v>67</v>
      </c>
      <c r="K2" s="1382"/>
      <c r="L2" s="1382" t="s">
        <v>49</v>
      </c>
      <c r="M2" s="1383"/>
    </row>
    <row r="3" spans="1:15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2" t="s">
        <v>10</v>
      </c>
      <c r="H3" s="372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5" s="69" customFormat="1" ht="15.75" thickBot="1" x14ac:dyDescent="0.3">
      <c r="A4" s="62">
        <v>1</v>
      </c>
      <c r="B4" s="63">
        <v>4</v>
      </c>
      <c r="C4" s="792" t="s">
        <v>643</v>
      </c>
      <c r="D4" s="374">
        <f>(208.38/4)*35.59</f>
        <v>1854.0610500000003</v>
      </c>
      <c r="E4" s="374">
        <f>+D4*B4</f>
        <v>7416.244200000001</v>
      </c>
      <c r="F4" s="374">
        <f>2869.86*0.8</f>
        <v>2295.8880000000004</v>
      </c>
      <c r="G4" s="374">
        <f>+F4*B4</f>
        <v>9183.5520000000015</v>
      </c>
      <c r="H4" s="374">
        <v>3325</v>
      </c>
      <c r="I4" s="374">
        <f t="shared" ref="I4" si="0">+H4*$B4</f>
        <v>13300</v>
      </c>
      <c r="J4" s="374">
        <v>2660</v>
      </c>
      <c r="K4" s="374">
        <f>+J4*B4</f>
        <v>10640</v>
      </c>
      <c r="L4" s="374"/>
      <c r="M4" s="375">
        <f>+L4*$B4</f>
        <v>0</v>
      </c>
      <c r="N4" s="68"/>
    </row>
    <row r="5" spans="1:15" s="54" customFormat="1" x14ac:dyDescent="0.25">
      <c r="A5" s="1132" t="s">
        <v>4</v>
      </c>
      <c r="B5" s="1133"/>
      <c r="C5" s="1133"/>
      <c r="D5" s="1378">
        <f>SUM(E4:E4)</f>
        <v>7416.244200000001</v>
      </c>
      <c r="E5" s="1378"/>
      <c r="F5" s="1378">
        <f>SUM(G4:G4)</f>
        <v>9183.5520000000015</v>
      </c>
      <c r="G5" s="1378"/>
      <c r="H5" s="1528">
        <f>SUM(I4:I4)</f>
        <v>13300</v>
      </c>
      <c r="I5" s="1528"/>
      <c r="J5" s="1528">
        <f>SUM(K4:K4)</f>
        <v>10640</v>
      </c>
      <c r="K5" s="1528"/>
      <c r="L5" s="1378">
        <f>SUM(M4:M4)</f>
        <v>0</v>
      </c>
      <c r="M5" s="1379"/>
    </row>
    <row r="6" spans="1:15" s="54" customFormat="1" x14ac:dyDescent="0.25">
      <c r="A6" s="1123" t="s">
        <v>5</v>
      </c>
      <c r="B6" s="1124"/>
      <c r="C6" s="1124"/>
      <c r="D6" s="1374">
        <v>0</v>
      </c>
      <c r="E6" s="1374"/>
      <c r="F6" s="1376">
        <v>0.2</v>
      </c>
      <c r="G6" s="1376"/>
      <c r="H6" s="1374">
        <v>0</v>
      </c>
      <c r="I6" s="1374"/>
      <c r="J6" s="1374">
        <v>0</v>
      </c>
      <c r="K6" s="1374"/>
      <c r="L6" s="1374"/>
      <c r="M6" s="1375"/>
    </row>
    <row r="7" spans="1:15" s="54" customFormat="1" x14ac:dyDescent="0.25">
      <c r="A7" s="1123" t="s">
        <v>2</v>
      </c>
      <c r="B7" s="1124"/>
      <c r="C7" s="1124"/>
      <c r="D7" s="1374">
        <f>+D5*0.15</f>
        <v>1112.4366300000002</v>
      </c>
      <c r="E7" s="1374"/>
      <c r="F7" s="1374">
        <f>+F5*0.15</f>
        <v>1377.5328000000002</v>
      </c>
      <c r="G7" s="1374"/>
      <c r="H7" s="1374">
        <v>0</v>
      </c>
      <c r="I7" s="1374"/>
      <c r="J7" s="1374">
        <f>+J5*0.15</f>
        <v>1596</v>
      </c>
      <c r="K7" s="1374"/>
      <c r="L7" s="1374">
        <v>0</v>
      </c>
      <c r="M7" s="1375"/>
    </row>
    <row r="8" spans="1:15" s="54" customFormat="1" ht="15.75" thickBot="1" x14ac:dyDescent="0.3">
      <c r="A8" s="1109" t="s">
        <v>3</v>
      </c>
      <c r="B8" s="1110"/>
      <c r="C8" s="1110"/>
      <c r="D8" s="1372">
        <f>(D5)+D7</f>
        <v>8528.6808300000012</v>
      </c>
      <c r="E8" s="1372"/>
      <c r="F8" s="1372">
        <f>(F5)+F7</f>
        <v>10561.084800000002</v>
      </c>
      <c r="G8" s="1372"/>
      <c r="H8" s="1372">
        <f t="shared" ref="H8:J8" si="1">(H5)+H7</f>
        <v>13300</v>
      </c>
      <c r="I8" s="1372"/>
      <c r="J8" s="1372">
        <f t="shared" si="1"/>
        <v>12236</v>
      </c>
      <c r="K8" s="1372"/>
      <c r="L8" s="1372">
        <f t="shared" ref="L8" si="2">(L5)+L7</f>
        <v>0</v>
      </c>
      <c r="M8" s="1373"/>
    </row>
    <row r="10" spans="1:15" s="54" customFormat="1" x14ac:dyDescent="0.25">
      <c r="A10" s="53"/>
      <c r="B10" s="53"/>
      <c r="C10" s="53"/>
      <c r="D10" s="53"/>
      <c r="E10" s="72" t="s">
        <v>645</v>
      </c>
      <c r="F10" s="72"/>
      <c r="G10" s="72" t="s">
        <v>646</v>
      </c>
      <c r="H10" s="53"/>
      <c r="I10" s="72" t="s">
        <v>646</v>
      </c>
      <c r="J10" s="72"/>
      <c r="K10" s="72" t="s">
        <v>646</v>
      </c>
      <c r="L10" s="53"/>
      <c r="M10" s="72"/>
    </row>
    <row r="12" spans="1:15" s="54" customFormat="1" x14ac:dyDescent="0.25">
      <c r="A12" s="53"/>
      <c r="B12" s="53"/>
      <c r="C12" s="53"/>
      <c r="D12" s="53"/>
      <c r="E12" s="53"/>
      <c r="F12" s="53"/>
      <c r="G12" s="413"/>
      <c r="H12" s="53"/>
      <c r="I12" s="53"/>
      <c r="J12" s="53"/>
      <c r="K12" s="53"/>
      <c r="L12" s="53"/>
      <c r="M12" s="53"/>
      <c r="O12" s="53"/>
    </row>
  </sheetData>
  <mergeCells count="31">
    <mergeCell ref="L8:M8"/>
    <mergeCell ref="A7:C7"/>
    <mergeCell ref="D7:E7"/>
    <mergeCell ref="F7:G7"/>
    <mergeCell ref="H7:I7"/>
    <mergeCell ref="J7:K7"/>
    <mergeCell ref="L7:M7"/>
    <mergeCell ref="A8:C8"/>
    <mergeCell ref="D8:E8"/>
    <mergeCell ref="F8:G8"/>
    <mergeCell ref="H8:I8"/>
    <mergeCell ref="J8:K8"/>
    <mergeCell ref="L6:M6"/>
    <mergeCell ref="A5:C5"/>
    <mergeCell ref="D5:E5"/>
    <mergeCell ref="F5:G5"/>
    <mergeCell ref="H5:I5"/>
    <mergeCell ref="J5:K5"/>
    <mergeCell ref="L5:M5"/>
    <mergeCell ref="A6:C6"/>
    <mergeCell ref="D6:E6"/>
    <mergeCell ref="F6:G6"/>
    <mergeCell ref="H6:I6"/>
    <mergeCell ref="J6:K6"/>
    <mergeCell ref="A1:M1"/>
    <mergeCell ref="A2:A3"/>
    <mergeCell ref="D2:E2"/>
    <mergeCell ref="F2:G2"/>
    <mergeCell ref="H2:I2"/>
    <mergeCell ref="J2:K2"/>
    <mergeCell ref="L2:M2"/>
  </mergeCells>
  <conditionalFormatting sqref="E4 M4 I4 K4">
    <cfRule type="expression" dxfId="109" priority="3">
      <formula>D4=""</formula>
    </cfRule>
  </conditionalFormatting>
  <conditionalFormatting sqref="E4 K4 M4 G4 I4">
    <cfRule type="expression" dxfId="108" priority="4">
      <formula>D4=MIN($D4,$F4,$H4,$J4,$L4)</formula>
    </cfRule>
  </conditionalFormatting>
  <conditionalFormatting sqref="G4">
    <cfRule type="expression" dxfId="107" priority="1">
      <formula>F4=""</formula>
    </cfRule>
  </conditionalFormatting>
  <conditionalFormatting sqref="G4 K4">
    <cfRule type="expression" dxfId="106" priority="2">
      <formula>F4=MIN($D4,$F4,$H4,$L4)</formula>
    </cfRule>
  </conditionalFormatting>
  <pageMargins left="0.25" right="0.25" top="0.75" bottom="0.75" header="0.3" footer="0.3"/>
  <pageSetup orientation="landscape" r:id="rId1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A8E5F0-1AFF-4034-A562-8C7B985DE22D}">
  <sheetPr codeName="Hoja117"/>
  <dimension ref="A2:Q23"/>
  <sheetViews>
    <sheetView showGridLines="0" workbookViewId="0">
      <selection activeCell="C9" sqref="C9"/>
    </sheetView>
  </sheetViews>
  <sheetFormatPr baseColWidth="10" defaultRowHeight="12" x14ac:dyDescent="0.25"/>
  <cols>
    <col min="1" max="1" width="2.42578125" style="753" bestFit="1" customWidth="1"/>
    <col min="2" max="2" width="4.85546875" style="753" bestFit="1" customWidth="1"/>
    <col min="3" max="3" width="12.7109375" style="753" bestFit="1" customWidth="1"/>
    <col min="4" max="4" width="8.5703125" style="753" bestFit="1" customWidth="1"/>
    <col min="5" max="5" width="10.7109375" style="753" bestFit="1" customWidth="1"/>
    <col min="6" max="6" width="8.5703125" style="753" bestFit="1" customWidth="1"/>
    <col min="7" max="7" width="9.85546875" style="753" bestFit="1" customWidth="1"/>
    <col min="8" max="8" width="8.5703125" style="753" bestFit="1" customWidth="1"/>
    <col min="9" max="9" width="9.85546875" style="753" bestFit="1" customWidth="1"/>
    <col min="10" max="10" width="8.5703125" style="753" bestFit="1" customWidth="1"/>
    <col min="11" max="11" width="9.85546875" style="753" bestFit="1" customWidth="1"/>
    <col min="12" max="12" width="8.5703125" style="753" bestFit="1" customWidth="1"/>
    <col min="13" max="13" width="10.7109375" style="753" bestFit="1" customWidth="1"/>
    <col min="14" max="14" width="8.5703125" style="753" bestFit="1" customWidth="1"/>
    <col min="15" max="15" width="9.85546875" style="753" bestFit="1" customWidth="1"/>
    <col min="16" max="16" width="13.42578125" style="752" bestFit="1" customWidth="1"/>
    <col min="17" max="17" width="13.42578125" style="753" bestFit="1" customWidth="1"/>
    <col min="18" max="16384" width="11.42578125" style="753"/>
  </cols>
  <sheetData>
    <row r="2" spans="1:17" ht="12.75" thickBot="1" x14ac:dyDescent="0.3"/>
    <row r="3" spans="1:17" ht="12.75" thickBot="1" x14ac:dyDescent="0.3">
      <c r="A3" s="1609" t="s">
        <v>1</v>
      </c>
      <c r="B3" s="1610"/>
      <c r="C3" s="1610"/>
      <c r="D3" s="1610"/>
      <c r="E3" s="1610"/>
      <c r="F3" s="1610"/>
      <c r="G3" s="1610"/>
      <c r="H3" s="1610"/>
      <c r="I3" s="1610"/>
      <c r="J3" s="1610"/>
      <c r="K3" s="1610"/>
      <c r="L3" s="1610"/>
      <c r="M3" s="1610"/>
      <c r="N3" s="1610"/>
      <c r="O3" s="1611"/>
    </row>
    <row r="4" spans="1:17" ht="12.75" thickBot="1" x14ac:dyDescent="0.3">
      <c r="A4" s="1612" t="s">
        <v>6</v>
      </c>
      <c r="B4" s="854" t="s">
        <v>17</v>
      </c>
      <c r="C4" s="855" t="s">
        <v>647</v>
      </c>
      <c r="D4" s="1614" t="s">
        <v>18</v>
      </c>
      <c r="E4" s="1614"/>
      <c r="F4" s="1615" t="s">
        <v>21</v>
      </c>
      <c r="G4" s="1616"/>
      <c r="H4" s="1614" t="s">
        <v>271</v>
      </c>
      <c r="I4" s="1616"/>
      <c r="J4" s="1614" t="s">
        <v>19</v>
      </c>
      <c r="K4" s="1616"/>
      <c r="L4" s="1614" t="s">
        <v>120</v>
      </c>
      <c r="M4" s="1616"/>
      <c r="N4" s="1614" t="s">
        <v>22</v>
      </c>
      <c r="O4" s="1616"/>
    </row>
    <row r="5" spans="1:17" ht="12.75" thickBot="1" x14ac:dyDescent="0.3">
      <c r="A5" s="1613"/>
      <c r="B5" s="856" t="s">
        <v>11</v>
      </c>
      <c r="C5" s="857" t="s">
        <v>0</v>
      </c>
      <c r="D5" s="858" t="s">
        <v>14</v>
      </c>
      <c r="E5" s="859" t="s">
        <v>10</v>
      </c>
      <c r="F5" s="864" t="s">
        <v>14</v>
      </c>
      <c r="G5" s="860" t="s">
        <v>10</v>
      </c>
      <c r="H5" s="858" t="s">
        <v>14</v>
      </c>
      <c r="I5" s="861" t="s">
        <v>10</v>
      </c>
      <c r="J5" s="858" t="s">
        <v>14</v>
      </c>
      <c r="K5" s="861" t="s">
        <v>10</v>
      </c>
      <c r="L5" s="858" t="s">
        <v>14</v>
      </c>
      <c r="M5" s="861" t="s">
        <v>10</v>
      </c>
      <c r="N5" s="858" t="s">
        <v>14</v>
      </c>
      <c r="O5" s="861" t="s">
        <v>10</v>
      </c>
    </row>
    <row r="6" spans="1:17" s="765" customFormat="1" ht="24" x14ac:dyDescent="0.25">
      <c r="A6" s="862">
        <v>1</v>
      </c>
      <c r="B6" s="865">
        <v>25</v>
      </c>
      <c r="C6" s="866" t="s">
        <v>648</v>
      </c>
      <c r="D6" s="867">
        <f>11.76*TC!C3</f>
        <v>419.770848</v>
      </c>
      <c r="E6" s="868">
        <f>+D6*B6</f>
        <v>10494.271199999999</v>
      </c>
      <c r="F6" s="869">
        <v>323.24</v>
      </c>
      <c r="G6" s="870">
        <f>+F6*B6</f>
        <v>8081</v>
      </c>
      <c r="H6" s="867">
        <f>5.9*TC!C3</f>
        <v>210.59932000000001</v>
      </c>
      <c r="I6" s="871">
        <f>+H6*B6</f>
        <v>5264.9830000000002</v>
      </c>
      <c r="J6" s="867">
        <f>8.9*TC!C3</f>
        <v>317.68371999999999</v>
      </c>
      <c r="K6" s="871">
        <f>+J6*B6</f>
        <v>7942.0929999999998</v>
      </c>
      <c r="L6" s="867">
        <f>26.9241*TC!C3</f>
        <v>961.05036468000003</v>
      </c>
      <c r="M6" s="871">
        <f>+L6*B6</f>
        <v>24026.259117000001</v>
      </c>
      <c r="N6" s="867" t="s">
        <v>36</v>
      </c>
      <c r="O6" s="871" t="s">
        <v>36</v>
      </c>
      <c r="P6" s="764"/>
    </row>
    <row r="7" spans="1:17" s="765" customFormat="1" ht="24" x14ac:dyDescent="0.25">
      <c r="A7" s="863">
        <v>2</v>
      </c>
      <c r="B7" s="872">
        <v>3</v>
      </c>
      <c r="C7" s="873" t="s">
        <v>649</v>
      </c>
      <c r="D7" s="874" t="s">
        <v>36</v>
      </c>
      <c r="E7" s="875" t="s">
        <v>36</v>
      </c>
      <c r="F7" s="876" t="s">
        <v>36</v>
      </c>
      <c r="G7" s="870" t="s">
        <v>36</v>
      </c>
      <c r="H7" s="874" t="s">
        <v>36</v>
      </c>
      <c r="I7" s="871" t="s">
        <v>36</v>
      </c>
      <c r="J7" s="874">
        <f>8.9*TC!C3</f>
        <v>317.68371999999999</v>
      </c>
      <c r="K7" s="871">
        <f>+J7*B7</f>
        <v>953.05115999999998</v>
      </c>
      <c r="L7" s="874" t="s">
        <v>36</v>
      </c>
      <c r="M7" s="871" t="s">
        <v>36</v>
      </c>
      <c r="N7" s="874" t="s">
        <v>36</v>
      </c>
      <c r="O7" s="871" t="s">
        <v>36</v>
      </c>
      <c r="P7" s="764"/>
    </row>
    <row r="8" spans="1:17" s="765" customFormat="1" x14ac:dyDescent="0.25">
      <c r="A8" s="863">
        <v>3</v>
      </c>
      <c r="B8" s="872">
        <v>10</v>
      </c>
      <c r="C8" s="873" t="s">
        <v>420</v>
      </c>
      <c r="D8" s="874">
        <f>6.3*TC!C3</f>
        <v>224.87724</v>
      </c>
      <c r="E8" s="875">
        <f>+D8*$B8</f>
        <v>2248.7723999999998</v>
      </c>
      <c r="F8" s="876" t="s">
        <v>36</v>
      </c>
      <c r="G8" s="870" t="s">
        <v>36</v>
      </c>
      <c r="H8" s="874">
        <f>17.92*TC!C3</f>
        <v>639.65081600000008</v>
      </c>
      <c r="I8" s="871">
        <f>+H8*$B8</f>
        <v>6396.5081600000012</v>
      </c>
      <c r="J8" s="874" t="s">
        <v>36</v>
      </c>
      <c r="K8" s="871" t="s">
        <v>36</v>
      </c>
      <c r="L8" s="874">
        <f>10.5268*TC!C3</f>
        <v>375.75202064000001</v>
      </c>
      <c r="M8" s="912">
        <f>+L8*B8</f>
        <v>3757.5202064</v>
      </c>
      <c r="N8" s="874" t="s">
        <v>36</v>
      </c>
      <c r="O8" s="871" t="s">
        <v>36</v>
      </c>
      <c r="P8" s="764"/>
    </row>
    <row r="9" spans="1:17" s="765" customFormat="1" ht="24" x14ac:dyDescent="0.25">
      <c r="A9" s="863">
        <v>4</v>
      </c>
      <c r="B9" s="877">
        <v>12</v>
      </c>
      <c r="C9" s="878" t="s">
        <v>650</v>
      </c>
      <c r="D9" s="879"/>
      <c r="E9" s="880"/>
      <c r="F9" s="881"/>
      <c r="G9" s="882"/>
      <c r="H9" s="879"/>
      <c r="I9" s="883"/>
      <c r="J9" s="879"/>
      <c r="K9" s="883"/>
      <c r="L9" s="879"/>
      <c r="M9" s="883"/>
      <c r="N9" s="879"/>
      <c r="O9" s="883"/>
      <c r="P9" s="764"/>
    </row>
    <row r="10" spans="1:17" s="765" customFormat="1" x14ac:dyDescent="0.25">
      <c r="A10" s="863"/>
      <c r="B10" s="872">
        <v>3</v>
      </c>
      <c r="C10" s="873">
        <v>40</v>
      </c>
      <c r="D10" s="874" t="s">
        <v>36</v>
      </c>
      <c r="E10" s="875" t="s">
        <v>36</v>
      </c>
      <c r="F10" s="876" t="s">
        <v>36</v>
      </c>
      <c r="G10" s="870" t="s">
        <v>36</v>
      </c>
      <c r="H10" s="874">
        <f>19.45*TC!$C$3</f>
        <v>694.26386000000002</v>
      </c>
      <c r="I10" s="871">
        <f>+H10*B10</f>
        <v>2082.7915800000001</v>
      </c>
      <c r="J10" s="874">
        <f>19.8*TC!$C$3</f>
        <v>706.75704000000007</v>
      </c>
      <c r="K10" s="871">
        <f>+J10*B10</f>
        <v>2120.2711200000003</v>
      </c>
      <c r="L10" s="874" t="s">
        <v>36</v>
      </c>
      <c r="M10" s="871" t="s">
        <v>36</v>
      </c>
      <c r="N10" s="874" t="s">
        <v>36</v>
      </c>
      <c r="O10" s="871" t="s">
        <v>36</v>
      </c>
      <c r="P10" s="764"/>
    </row>
    <row r="11" spans="1:17" s="765" customFormat="1" x14ac:dyDescent="0.25">
      <c r="A11" s="863"/>
      <c r="B11" s="872">
        <v>3</v>
      </c>
      <c r="C11" s="873">
        <v>42</v>
      </c>
      <c r="D11" s="874" t="s">
        <v>36</v>
      </c>
      <c r="E11" s="875" t="s">
        <v>36</v>
      </c>
      <c r="F11" s="876" t="s">
        <v>36</v>
      </c>
      <c r="G11" s="870" t="s">
        <v>36</v>
      </c>
      <c r="H11" s="874">
        <f>19.45*TC!$C$3</f>
        <v>694.26386000000002</v>
      </c>
      <c r="I11" s="871">
        <f>+H11*B11</f>
        <v>2082.7915800000001</v>
      </c>
      <c r="J11" s="874">
        <f>19.8*TC!$C$3</f>
        <v>706.75704000000007</v>
      </c>
      <c r="K11" s="871">
        <f>+J11*B11</f>
        <v>2120.2711200000003</v>
      </c>
      <c r="L11" s="874" t="s">
        <v>36</v>
      </c>
      <c r="M11" s="871" t="s">
        <v>36</v>
      </c>
      <c r="N11" s="874">
        <v>608.70000000000005</v>
      </c>
      <c r="O11" s="871">
        <f>+N11*B11</f>
        <v>1826.1000000000001</v>
      </c>
      <c r="P11" s="764"/>
    </row>
    <row r="12" spans="1:17" s="765" customFormat="1" x14ac:dyDescent="0.25">
      <c r="A12" s="863"/>
      <c r="B12" s="872">
        <v>3</v>
      </c>
      <c r="C12" s="873">
        <v>43</v>
      </c>
      <c r="D12" s="874" t="s">
        <v>36</v>
      </c>
      <c r="E12" s="875" t="s">
        <v>36</v>
      </c>
      <c r="F12" s="876" t="s">
        <v>36</v>
      </c>
      <c r="G12" s="870" t="s">
        <v>36</v>
      </c>
      <c r="H12" s="874">
        <f>19.45*TC!$C$3</f>
        <v>694.26386000000002</v>
      </c>
      <c r="I12" s="871">
        <f>+H12*B12</f>
        <v>2082.7915800000001</v>
      </c>
      <c r="J12" s="874">
        <f>19.8*TC!$C$3</f>
        <v>706.75704000000007</v>
      </c>
      <c r="K12" s="871">
        <f>+J12*B12</f>
        <v>2120.2711200000003</v>
      </c>
      <c r="L12" s="874" t="s">
        <v>36</v>
      </c>
      <c r="M12" s="871" t="s">
        <v>36</v>
      </c>
      <c r="N12" s="874">
        <v>608.70000000000005</v>
      </c>
      <c r="O12" s="871">
        <f>+N12*B12</f>
        <v>1826.1000000000001</v>
      </c>
      <c r="P12" s="764"/>
    </row>
    <row r="13" spans="1:17" s="765" customFormat="1" x14ac:dyDescent="0.25">
      <c r="A13" s="863"/>
      <c r="B13" s="872">
        <v>3</v>
      </c>
      <c r="C13" s="873">
        <v>44</v>
      </c>
      <c r="D13" s="874" t="s">
        <v>36</v>
      </c>
      <c r="E13" s="875" t="s">
        <v>36</v>
      </c>
      <c r="F13" s="876" t="s">
        <v>36</v>
      </c>
      <c r="G13" s="870" t="s">
        <v>36</v>
      </c>
      <c r="H13" s="874">
        <f>19.45*TC!$C$3</f>
        <v>694.26386000000002</v>
      </c>
      <c r="I13" s="871">
        <f>+H13*B13</f>
        <v>2082.7915800000001</v>
      </c>
      <c r="J13" s="874">
        <f>19.8*TC!$C$3</f>
        <v>706.75704000000007</v>
      </c>
      <c r="K13" s="871">
        <f>+J13*B13</f>
        <v>2120.2711200000003</v>
      </c>
      <c r="L13" s="874" t="s">
        <v>36</v>
      </c>
      <c r="M13" s="871" t="s">
        <v>36</v>
      </c>
      <c r="N13" s="874">
        <v>500.87</v>
      </c>
      <c r="O13" s="871">
        <f>+N13*B13</f>
        <v>1502.6100000000001</v>
      </c>
      <c r="P13" s="764"/>
    </row>
    <row r="14" spans="1:17" s="765" customFormat="1" x14ac:dyDescent="0.25">
      <c r="A14" s="863">
        <v>5</v>
      </c>
      <c r="B14" s="877">
        <v>12</v>
      </c>
      <c r="C14" s="878" t="s">
        <v>653</v>
      </c>
      <c r="D14" s="879"/>
      <c r="E14" s="880"/>
      <c r="F14" s="881"/>
      <c r="G14" s="882"/>
      <c r="H14" s="879"/>
      <c r="I14" s="883"/>
      <c r="J14" s="879"/>
      <c r="K14" s="883"/>
      <c r="L14" s="879"/>
      <c r="M14" s="883"/>
      <c r="N14" s="879"/>
      <c r="O14" s="883"/>
      <c r="P14" s="764"/>
    </row>
    <row r="15" spans="1:17" s="765" customFormat="1" x14ac:dyDescent="0.25">
      <c r="A15" s="863"/>
      <c r="B15" s="872">
        <v>4</v>
      </c>
      <c r="C15" s="873" t="s">
        <v>424</v>
      </c>
      <c r="D15" s="874">
        <f>7.95*TC!$C$3</f>
        <v>283.77366000000001</v>
      </c>
      <c r="E15" s="875">
        <f>+D15*B15</f>
        <v>1135.09464</v>
      </c>
      <c r="F15" s="876">
        <v>249.84</v>
      </c>
      <c r="G15" s="870">
        <f>+F15*B15</f>
        <v>999.36</v>
      </c>
      <c r="H15" s="874">
        <f>7.3*TC!$C$3</f>
        <v>260.57204000000002</v>
      </c>
      <c r="I15" s="871">
        <f>+H15*B15</f>
        <v>1042.2881600000001</v>
      </c>
      <c r="J15" s="874">
        <f>4.9*TC!$C$3</f>
        <v>174.90452000000002</v>
      </c>
      <c r="K15" s="871">
        <f>+J15*B15</f>
        <v>699.61808000000008</v>
      </c>
      <c r="L15" s="874" t="s">
        <v>36</v>
      </c>
      <c r="M15" s="871" t="s">
        <v>36</v>
      </c>
      <c r="N15" s="874" t="s">
        <v>36</v>
      </c>
      <c r="O15" s="871" t="s">
        <v>36</v>
      </c>
      <c r="P15" s="764"/>
      <c r="Q15" s="767"/>
    </row>
    <row r="16" spans="1:17" s="765" customFormat="1" x14ac:dyDescent="0.25">
      <c r="A16" s="863"/>
      <c r="B16" s="872">
        <v>4</v>
      </c>
      <c r="C16" s="873" t="s">
        <v>651</v>
      </c>
      <c r="D16" s="874">
        <f>7.95*TC!$C$3</f>
        <v>283.77366000000001</v>
      </c>
      <c r="E16" s="875">
        <f>+D16*B16</f>
        <v>1135.09464</v>
      </c>
      <c r="F16" s="876">
        <v>249.84</v>
      </c>
      <c r="G16" s="870">
        <f>+F16*B16</f>
        <v>999.36</v>
      </c>
      <c r="H16" s="874">
        <f>7.3*TC!$C$3</f>
        <v>260.57204000000002</v>
      </c>
      <c r="I16" s="871">
        <f t="shared" ref="I16:I17" si="0">+H16*B16</f>
        <v>1042.2881600000001</v>
      </c>
      <c r="J16" s="874">
        <f>4.9*TC!$C$3</f>
        <v>174.90452000000002</v>
      </c>
      <c r="K16" s="871">
        <f>+J16*B16</f>
        <v>699.61808000000008</v>
      </c>
      <c r="L16" s="874" t="s">
        <v>36</v>
      </c>
      <c r="M16" s="871" t="s">
        <v>36</v>
      </c>
      <c r="N16" s="874" t="s">
        <v>36</v>
      </c>
      <c r="O16" s="871" t="s">
        <v>36</v>
      </c>
      <c r="P16" s="764"/>
    </row>
    <row r="17" spans="1:16" s="765" customFormat="1" ht="12.75" thickBot="1" x14ac:dyDescent="0.3">
      <c r="A17" s="863"/>
      <c r="B17" s="872">
        <v>4</v>
      </c>
      <c r="C17" s="873" t="s">
        <v>652</v>
      </c>
      <c r="D17" s="874">
        <f>7.95*TC!$C$3</f>
        <v>283.77366000000001</v>
      </c>
      <c r="E17" s="875">
        <f>+D17*B17</f>
        <v>1135.09464</v>
      </c>
      <c r="F17" s="876">
        <v>249.84</v>
      </c>
      <c r="G17" s="870">
        <f>+F17*B17</f>
        <v>999.36</v>
      </c>
      <c r="H17" s="874">
        <f>7.3*TC!$C$3</f>
        <v>260.57204000000002</v>
      </c>
      <c r="I17" s="871">
        <f t="shared" si="0"/>
        <v>1042.2881600000001</v>
      </c>
      <c r="J17" s="874">
        <f>4.9*TC!$C$3</f>
        <v>174.90452000000002</v>
      </c>
      <c r="K17" s="871">
        <f>+J17*B17</f>
        <v>699.61808000000008</v>
      </c>
      <c r="L17" s="874" t="s">
        <v>36</v>
      </c>
      <c r="M17" s="871" t="s">
        <v>36</v>
      </c>
      <c r="N17" s="874" t="s">
        <v>36</v>
      </c>
      <c r="O17" s="871" t="s">
        <v>36</v>
      </c>
      <c r="P17" s="764"/>
    </row>
    <row r="18" spans="1:16" x14ac:dyDescent="0.25">
      <c r="A18" s="1511" t="s">
        <v>4</v>
      </c>
      <c r="B18" s="1512"/>
      <c r="C18" s="1604"/>
      <c r="D18" s="1605">
        <f>SUM(E6:E17)</f>
        <v>16148.327519999997</v>
      </c>
      <c r="E18" s="1606"/>
      <c r="F18" s="1607">
        <f>SUM(G6:G17)</f>
        <v>11079.080000000002</v>
      </c>
      <c r="G18" s="1608"/>
      <c r="H18" s="1605">
        <f>SUM(I6:I17)</f>
        <v>23119.521960000005</v>
      </c>
      <c r="I18" s="1608"/>
      <c r="J18" s="1605">
        <f>SUM(K6:K17)</f>
        <v>19475.082880000005</v>
      </c>
      <c r="K18" s="1608"/>
      <c r="L18" s="1605">
        <f>SUM(M6:M17)</f>
        <v>27783.779323400002</v>
      </c>
      <c r="M18" s="1608"/>
      <c r="N18" s="1605">
        <f>SUM(O6:O17)</f>
        <v>5154.8100000000004</v>
      </c>
      <c r="O18" s="1608"/>
    </row>
    <row r="19" spans="1:16" x14ac:dyDescent="0.25">
      <c r="A19" s="1518" t="s">
        <v>5</v>
      </c>
      <c r="B19" s="1519"/>
      <c r="C19" s="1594"/>
      <c r="D19" s="1595">
        <v>0</v>
      </c>
      <c r="E19" s="1596"/>
      <c r="F19" s="1597">
        <v>0</v>
      </c>
      <c r="G19" s="1598"/>
      <c r="H19" s="1595">
        <v>0</v>
      </c>
      <c r="I19" s="1598"/>
      <c r="J19" s="1595">
        <v>0</v>
      </c>
      <c r="K19" s="1598"/>
      <c r="L19" s="1595">
        <v>0</v>
      </c>
      <c r="M19" s="1598"/>
      <c r="N19" s="1595">
        <v>0</v>
      </c>
      <c r="O19" s="1598"/>
    </row>
    <row r="20" spans="1:16" x14ac:dyDescent="0.25">
      <c r="A20" s="1518" t="s">
        <v>2</v>
      </c>
      <c r="B20" s="1519"/>
      <c r="C20" s="1594"/>
      <c r="D20" s="1595">
        <f>(D18-D19)*15%</f>
        <v>2422.2491279999995</v>
      </c>
      <c r="E20" s="1596"/>
      <c r="F20" s="1597">
        <f>(F18-F19)*15%</f>
        <v>1661.8620000000003</v>
      </c>
      <c r="G20" s="1598"/>
      <c r="H20" s="1595">
        <v>0</v>
      </c>
      <c r="I20" s="1598"/>
      <c r="J20" s="1595">
        <f>(J18-J19)*15%</f>
        <v>2921.2624320000009</v>
      </c>
      <c r="K20" s="1598"/>
      <c r="L20" s="1595">
        <f>(L18-L19)*15%</f>
        <v>4167.5668985100001</v>
      </c>
      <c r="M20" s="1598"/>
      <c r="N20" s="1595">
        <f>(N18-N19)*15%</f>
        <v>773.22149999999999</v>
      </c>
      <c r="O20" s="1598"/>
    </row>
    <row r="21" spans="1:16" ht="12.75" thickBot="1" x14ac:dyDescent="0.3">
      <c r="A21" s="1515" t="s">
        <v>3</v>
      </c>
      <c r="B21" s="1516"/>
      <c r="C21" s="1599"/>
      <c r="D21" s="1600">
        <f>(D18-D19)+D20</f>
        <v>18570.576647999995</v>
      </c>
      <c r="E21" s="1601"/>
      <c r="F21" s="1602">
        <f>(F18-F19)+F20</f>
        <v>12740.942000000003</v>
      </c>
      <c r="G21" s="1603"/>
      <c r="H21" s="1600">
        <f>(H18-H19)+H20</f>
        <v>23119.521960000005</v>
      </c>
      <c r="I21" s="1603"/>
      <c r="J21" s="1600">
        <f>(J18-J19)+J20</f>
        <v>22396.345312000005</v>
      </c>
      <c r="K21" s="1603"/>
      <c r="L21" s="1600">
        <f>(L18-L19)+L20</f>
        <v>31951.346221910004</v>
      </c>
      <c r="M21" s="1603"/>
      <c r="N21" s="1600">
        <f>(N18-N19)+N20</f>
        <v>5928.0315000000001</v>
      </c>
      <c r="O21" s="1603"/>
    </row>
    <row r="23" spans="1:16" s="752" customFormat="1" x14ac:dyDescent="0.25">
      <c r="A23" s="753"/>
      <c r="B23" s="753"/>
      <c r="C23" s="753"/>
      <c r="D23" s="753"/>
      <c r="E23" s="768"/>
      <c r="F23" s="753"/>
      <c r="G23" s="768"/>
      <c r="H23" s="753"/>
      <c r="I23" s="768"/>
      <c r="J23" s="753"/>
      <c r="K23" s="768"/>
      <c r="L23" s="753"/>
      <c r="M23" s="768"/>
      <c r="N23" s="753"/>
      <c r="O23" s="768"/>
    </row>
  </sheetData>
  <mergeCells count="36">
    <mergeCell ref="A3:O3"/>
    <mergeCell ref="A4:A5"/>
    <mergeCell ref="D4:E4"/>
    <mergeCell ref="F4:G4"/>
    <mergeCell ref="H4:I4"/>
    <mergeCell ref="N4:O4"/>
    <mergeCell ref="L4:M4"/>
    <mergeCell ref="J4:K4"/>
    <mergeCell ref="A19:C19"/>
    <mergeCell ref="D19:E19"/>
    <mergeCell ref="F19:G19"/>
    <mergeCell ref="H19:I19"/>
    <mergeCell ref="N19:O19"/>
    <mergeCell ref="L19:M19"/>
    <mergeCell ref="J19:K19"/>
    <mergeCell ref="A18:C18"/>
    <mergeCell ref="D18:E18"/>
    <mergeCell ref="F18:G18"/>
    <mergeCell ref="H18:I18"/>
    <mergeCell ref="N18:O18"/>
    <mergeCell ref="L18:M18"/>
    <mergeCell ref="J18:K18"/>
    <mergeCell ref="A21:C21"/>
    <mergeCell ref="D21:E21"/>
    <mergeCell ref="F21:G21"/>
    <mergeCell ref="H21:I21"/>
    <mergeCell ref="N21:O21"/>
    <mergeCell ref="L21:M21"/>
    <mergeCell ref="J21:K21"/>
    <mergeCell ref="A20:C20"/>
    <mergeCell ref="D20:E20"/>
    <mergeCell ref="F20:G20"/>
    <mergeCell ref="H20:I20"/>
    <mergeCell ref="N20:O20"/>
    <mergeCell ref="L20:M20"/>
    <mergeCell ref="J20:K20"/>
  </mergeCells>
  <conditionalFormatting sqref="E6:E7 G6:G8 I7:I8 M6:M8 O6:O8 O15:O17 O10:O13 M15:M17 M10:M13 G10:G13 E10:E13 G15:G17 I10:I13 E15:E17 I15:I17 K6:K8 K10:K13 K15:K17">
    <cfRule type="expression" dxfId="105" priority="329">
      <formula>D6=MIN($D6,$F6,$H6,$J6,$L6,$N6)</formula>
    </cfRule>
  </conditionalFormatting>
  <conditionalFormatting sqref="O13 K13">
    <cfRule type="expression" dxfId="104" priority="347">
      <formula>J13=MIN($D13,$F13,$H13,$N13)</formula>
    </cfRule>
  </conditionalFormatting>
  <pageMargins left="0.25" right="0.25" top="0.75" bottom="0.75" header="0.3" footer="0.3"/>
  <pageSetup orientation="landscape" r:id="rId1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A61C4-42C2-44ED-81AC-EDD8D36722A4}">
  <sheetPr codeName="Hoja118"/>
  <dimension ref="A1:H12"/>
  <sheetViews>
    <sheetView showGridLines="0" workbookViewId="0">
      <selection activeCell="A2" sqref="A2:G2"/>
    </sheetView>
  </sheetViews>
  <sheetFormatPr baseColWidth="10" defaultRowHeight="21" x14ac:dyDescent="0.25"/>
  <cols>
    <col min="1" max="1" width="4" style="887" bestFit="1" customWidth="1"/>
    <col min="2" max="2" width="8.140625" style="887" bestFit="1" customWidth="1"/>
    <col min="3" max="3" width="23.140625" style="887" bestFit="1" customWidth="1"/>
    <col min="4" max="4" width="16.5703125" style="887" bestFit="1" customWidth="1"/>
    <col min="5" max="5" width="14.7109375" style="887" bestFit="1" customWidth="1"/>
    <col min="6" max="6" width="19.5703125" style="887" bestFit="1" customWidth="1"/>
    <col min="7" max="7" width="14.7109375" style="887" bestFit="1" customWidth="1"/>
    <col min="8" max="8" width="13.42578125" style="888" bestFit="1" customWidth="1"/>
    <col min="9" max="9" width="13.42578125" style="887" bestFit="1" customWidth="1"/>
    <col min="10" max="16384" width="11.42578125" style="887"/>
  </cols>
  <sheetData>
    <row r="1" spans="1:8" ht="21.75" thickBot="1" x14ac:dyDescent="0.3"/>
    <row r="2" spans="1:8" ht="21.75" thickBot="1" x14ac:dyDescent="0.3">
      <c r="A2" s="1617" t="s">
        <v>1</v>
      </c>
      <c r="B2" s="1618"/>
      <c r="C2" s="1618"/>
      <c r="D2" s="1618"/>
      <c r="E2" s="1618"/>
      <c r="F2" s="1618"/>
      <c r="G2" s="1619"/>
    </row>
    <row r="3" spans="1:8" x14ac:dyDescent="0.25">
      <c r="A3" s="1620" t="s">
        <v>6</v>
      </c>
      <c r="B3" s="889" t="s">
        <v>17</v>
      </c>
      <c r="C3" s="890" t="s">
        <v>655</v>
      </c>
      <c r="D3" s="891" t="s">
        <v>566</v>
      </c>
      <c r="E3" s="891" t="s">
        <v>438</v>
      </c>
      <c r="F3" s="891" t="s">
        <v>656</v>
      </c>
      <c r="G3" s="892" t="s">
        <v>593</v>
      </c>
    </row>
    <row r="4" spans="1:8" ht="21.75" thickBot="1" x14ac:dyDescent="0.3">
      <c r="A4" s="1621"/>
      <c r="B4" s="893" t="s">
        <v>11</v>
      </c>
      <c r="C4" s="894" t="s">
        <v>0</v>
      </c>
      <c r="D4" s="894" t="s">
        <v>10</v>
      </c>
      <c r="E4" s="894" t="s">
        <v>10</v>
      </c>
      <c r="F4" s="894" t="s">
        <v>10</v>
      </c>
      <c r="G4" s="895" t="s">
        <v>10</v>
      </c>
    </row>
    <row r="5" spans="1:8" s="902" customFormat="1" ht="42.75" thickBot="1" x14ac:dyDescent="0.3">
      <c r="A5" s="896">
        <v>1</v>
      </c>
      <c r="B5" s="897">
        <v>1</v>
      </c>
      <c r="C5" s="898" t="s">
        <v>654</v>
      </c>
      <c r="D5" s="899">
        <v>700</v>
      </c>
      <c r="E5" s="899">
        <v>780</v>
      </c>
      <c r="F5" s="899">
        <v>629</v>
      </c>
      <c r="G5" s="900">
        <v>850</v>
      </c>
      <c r="H5" s="901"/>
    </row>
    <row r="6" spans="1:8" s="888" customFormat="1" x14ac:dyDescent="0.25">
      <c r="A6" s="1622" t="s">
        <v>4</v>
      </c>
      <c r="B6" s="1623"/>
      <c r="C6" s="1623"/>
      <c r="D6" s="903">
        <f>SUM(D5:D5)</f>
        <v>700</v>
      </c>
      <c r="E6" s="903">
        <f>SUM(E5:E5)</f>
        <v>780</v>
      </c>
      <c r="F6" s="903">
        <f>SUM(F5:F5)</f>
        <v>629</v>
      </c>
      <c r="G6" s="904">
        <f>SUM(G5:G5)</f>
        <v>850</v>
      </c>
    </row>
    <row r="7" spans="1:8" s="888" customFormat="1" x14ac:dyDescent="0.25">
      <c r="A7" s="1624" t="s">
        <v>2</v>
      </c>
      <c r="B7" s="1625"/>
      <c r="C7" s="1625"/>
      <c r="D7" s="905">
        <f t="shared" ref="D7:G7" si="0">+D6*0.15</f>
        <v>105</v>
      </c>
      <c r="E7" s="905">
        <f t="shared" si="0"/>
        <v>117</v>
      </c>
      <c r="F7" s="905">
        <f>+F6*0.15</f>
        <v>94.35</v>
      </c>
      <c r="G7" s="906">
        <f t="shared" si="0"/>
        <v>127.5</v>
      </c>
    </row>
    <row r="8" spans="1:8" s="888" customFormat="1" ht="21.75" thickBot="1" x14ac:dyDescent="0.3">
      <c r="A8" s="1626" t="s">
        <v>3</v>
      </c>
      <c r="B8" s="1627"/>
      <c r="C8" s="1627"/>
      <c r="D8" s="907">
        <f t="shared" ref="D8:G8" si="1">(D6)+D7</f>
        <v>805</v>
      </c>
      <c r="E8" s="907">
        <f t="shared" si="1"/>
        <v>897</v>
      </c>
      <c r="F8" s="907">
        <f t="shared" si="1"/>
        <v>723.35</v>
      </c>
      <c r="G8" s="908">
        <f t="shared" si="1"/>
        <v>977.5</v>
      </c>
    </row>
    <row r="10" spans="1:8" s="888" customFormat="1" x14ac:dyDescent="0.25">
      <c r="A10" s="887"/>
      <c r="B10" s="887"/>
      <c r="C10" s="887"/>
      <c r="D10" s="909"/>
      <c r="E10" s="909"/>
      <c r="F10" s="909"/>
      <c r="G10" s="887"/>
    </row>
    <row r="12" spans="1:8" x14ac:dyDescent="0.25">
      <c r="F12" s="910"/>
    </row>
  </sheetData>
  <mergeCells count="5">
    <mergeCell ref="A2:G2"/>
    <mergeCell ref="A3:A4"/>
    <mergeCell ref="A6:C6"/>
    <mergeCell ref="A7:C7"/>
    <mergeCell ref="A8:C8"/>
  </mergeCells>
  <conditionalFormatting sqref="D5:G5">
    <cfRule type="cellIs" dxfId="103" priority="348" operator="equal">
      <formula>MIN($D5:$G5)</formula>
    </cfRule>
  </conditionalFormatting>
  <pageMargins left="0.25" right="0.25" top="0.75" bottom="0.75" header="0.3" footer="0.3"/>
  <pageSetup orientation="portrait" r:id="rId1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8A96F-BA20-476A-B99C-475D1C255F03}">
  <sheetPr codeName="Hoja119"/>
  <dimension ref="B2:I16"/>
  <sheetViews>
    <sheetView showGridLines="0" workbookViewId="0">
      <selection activeCell="C6" sqref="C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2.28515625" style="1" bestFit="1" customWidth="1"/>
    <col min="5" max="5" width="11" style="1" bestFit="1" customWidth="1"/>
    <col min="6" max="6" width="14.140625" style="1" bestFit="1" customWidth="1"/>
    <col min="7" max="7" width="11" style="1" bestFit="1" customWidth="1"/>
    <col min="8" max="8" width="14.1406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657</v>
      </c>
      <c r="E4" s="1252" t="s">
        <v>457</v>
      </c>
      <c r="F4" s="1251"/>
      <c r="G4" s="1248" t="s">
        <v>92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884" t="s">
        <v>10</v>
      </c>
      <c r="G5" s="31" t="s">
        <v>14</v>
      </c>
      <c r="H5" s="32" t="s">
        <v>10</v>
      </c>
      <c r="I5" s="6"/>
    </row>
    <row r="6" spans="2:9" s="3" customFormat="1" x14ac:dyDescent="0.3">
      <c r="B6" s="19">
        <v>1</v>
      </c>
      <c r="C6" s="16">
        <v>24</v>
      </c>
      <c r="D6" s="9" t="s">
        <v>658</v>
      </c>
      <c r="E6" s="24">
        <f>31.18*0.85</f>
        <v>26.503</v>
      </c>
      <c r="F6" s="23">
        <f>+E6*$C6</f>
        <v>636.072</v>
      </c>
      <c r="G6" s="24">
        <v>35</v>
      </c>
      <c r="H6" s="23">
        <f>+G6*$C6</f>
        <v>840</v>
      </c>
      <c r="I6" s="7"/>
    </row>
    <row r="7" spans="2:9" s="3" customFormat="1" x14ac:dyDescent="0.3">
      <c r="B7" s="20">
        <v>2</v>
      </c>
      <c r="C7" s="17">
        <v>24</v>
      </c>
      <c r="D7" s="9" t="s">
        <v>659</v>
      </c>
      <c r="E7" s="25">
        <f>42.88*0.85</f>
        <v>36.448</v>
      </c>
      <c r="F7" s="23">
        <f t="shared" ref="F7:F8" si="0">+E7*$C7</f>
        <v>874.75199999999995</v>
      </c>
      <c r="G7" s="25">
        <v>44</v>
      </c>
      <c r="H7" s="23">
        <f t="shared" ref="H7:H9" si="1">+G7*$C7</f>
        <v>1056</v>
      </c>
      <c r="I7" s="7"/>
    </row>
    <row r="8" spans="2:9" s="3" customFormat="1" x14ac:dyDescent="0.3">
      <c r="B8" s="20">
        <v>3</v>
      </c>
      <c r="C8" s="17">
        <v>24</v>
      </c>
      <c r="D8" s="9" t="s">
        <v>660</v>
      </c>
      <c r="E8" s="25">
        <f>24.48*0.85</f>
        <v>20.808</v>
      </c>
      <c r="F8" s="23">
        <f t="shared" si="0"/>
        <v>499.392</v>
      </c>
      <c r="G8" s="25">
        <v>24</v>
      </c>
      <c r="H8" s="23">
        <f t="shared" si="1"/>
        <v>576</v>
      </c>
      <c r="I8" s="7"/>
    </row>
    <row r="9" spans="2:9" s="3" customFormat="1" ht="18" thickBot="1" x14ac:dyDescent="0.35">
      <c r="B9" s="20">
        <v>4</v>
      </c>
      <c r="C9" s="17">
        <v>24</v>
      </c>
      <c r="D9" s="9" t="s">
        <v>661</v>
      </c>
      <c r="E9" s="25">
        <f>34*0.85</f>
        <v>28.9</v>
      </c>
      <c r="F9" s="23">
        <f>+E9*$C9</f>
        <v>693.59999999999991</v>
      </c>
      <c r="G9" s="25">
        <v>32</v>
      </c>
      <c r="H9" s="23">
        <f t="shared" si="1"/>
        <v>768</v>
      </c>
      <c r="I9" s="7"/>
    </row>
    <row r="10" spans="2:9" x14ac:dyDescent="0.3">
      <c r="B10" s="1217" t="s">
        <v>4</v>
      </c>
      <c r="C10" s="1218"/>
      <c r="D10" s="1219"/>
      <c r="E10" s="1245">
        <f>SUM(F6:F9)</f>
        <v>2703.8159999999998</v>
      </c>
      <c r="F10" s="1246"/>
      <c r="G10" s="1245">
        <f>SUM(H6:H9)</f>
        <v>3240</v>
      </c>
      <c r="H10" s="1247"/>
    </row>
    <row r="11" spans="2:9" x14ac:dyDescent="0.3">
      <c r="B11" s="1205" t="s">
        <v>5</v>
      </c>
      <c r="C11" s="1206"/>
      <c r="D11" s="1207"/>
      <c r="E11" s="1283">
        <v>0.15</v>
      </c>
      <c r="F11" s="1284"/>
      <c r="G11" s="1283">
        <v>0</v>
      </c>
      <c r="H11" s="1322"/>
    </row>
    <row r="12" spans="2:9" x14ac:dyDescent="0.3">
      <c r="B12" s="1208" t="s">
        <v>2</v>
      </c>
      <c r="C12" s="1209"/>
      <c r="D12" s="1210"/>
      <c r="E12" s="1242">
        <f>(E10)*15%</f>
        <v>405.57239999999996</v>
      </c>
      <c r="F12" s="1243"/>
      <c r="G12" s="1242">
        <f>(G10)*15%</f>
        <v>486</v>
      </c>
      <c r="H12" s="1244"/>
    </row>
    <row r="13" spans="2:9" ht="18" thickBot="1" x14ac:dyDescent="0.35">
      <c r="B13" s="1202" t="s">
        <v>3</v>
      </c>
      <c r="C13" s="1203"/>
      <c r="D13" s="1204"/>
      <c r="E13" s="1628">
        <f>(E10)+E12</f>
        <v>3109.3883999999998</v>
      </c>
      <c r="F13" s="1629"/>
      <c r="G13" s="1253">
        <f>(G10)+G12</f>
        <v>3726</v>
      </c>
      <c r="H13" s="1255"/>
    </row>
    <row r="15" spans="2:9" x14ac:dyDescent="0.3">
      <c r="F15" s="4"/>
      <c r="G15" s="4"/>
      <c r="H15" s="4"/>
    </row>
    <row r="16" spans="2:9" x14ac:dyDescent="0.3">
      <c r="H16" s="564"/>
    </row>
  </sheetData>
  <mergeCells count="16">
    <mergeCell ref="B3:H3"/>
    <mergeCell ref="B4:B5"/>
    <mergeCell ref="E4:F4"/>
    <mergeCell ref="G4:H4"/>
    <mergeCell ref="B10:D10"/>
    <mergeCell ref="E10:F10"/>
    <mergeCell ref="G10:H10"/>
    <mergeCell ref="B13:D13"/>
    <mergeCell ref="E13:F13"/>
    <mergeCell ref="G13:H13"/>
    <mergeCell ref="B11:D11"/>
    <mergeCell ref="E11:F11"/>
    <mergeCell ref="G11:H11"/>
    <mergeCell ref="B12:D12"/>
    <mergeCell ref="E12:F12"/>
    <mergeCell ref="G12:H12"/>
  </mergeCells>
  <conditionalFormatting sqref="F6:F9 H6:H9">
    <cfRule type="expression" dxfId="102" priority="2">
      <formula>E6=MIN($E6,$G6)</formula>
    </cfRule>
  </conditionalFormatting>
  <pageMargins left="0.25" right="0.25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B8D289-54AD-48D2-AD13-B693E88B16BD}">
  <sheetPr codeName="Hoja12"/>
  <dimension ref="B2:K13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7.42578125" style="108" bestFit="1" customWidth="1"/>
    <col min="5" max="5" width="11.140625" style="108" bestFit="1" customWidth="1"/>
    <col min="6" max="6" width="12.85546875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0" width="12.85546875" style="108" bestFit="1" customWidth="1"/>
    <col min="11" max="11" width="13.42578125" style="109" bestFit="1" customWidth="1"/>
    <col min="12" max="12" width="13.42578125" style="108" bestFit="1" customWidth="1"/>
    <col min="13" max="16384" width="11.42578125" style="108"/>
  </cols>
  <sheetData>
    <row r="2" spans="2:11" ht="16.5" thickBot="1" x14ac:dyDescent="0.3"/>
    <row r="3" spans="2:11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1"/>
      <c r="K3" s="35"/>
    </row>
    <row r="4" spans="2:11" s="34" customFormat="1" ht="16.5" thickBot="1" x14ac:dyDescent="0.3">
      <c r="B4" s="1182" t="s">
        <v>6</v>
      </c>
      <c r="C4" s="110" t="s">
        <v>17</v>
      </c>
      <c r="D4" s="111" t="s">
        <v>103</v>
      </c>
      <c r="E4" s="1184" t="s">
        <v>53</v>
      </c>
      <c r="F4" s="1102"/>
      <c r="G4" s="1100" t="s">
        <v>55</v>
      </c>
      <c r="H4" s="1102"/>
      <c r="I4" s="1100" t="s">
        <v>105</v>
      </c>
      <c r="J4" s="1102"/>
      <c r="K4" s="35"/>
    </row>
    <row r="5" spans="2:11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168" t="s">
        <v>10</v>
      </c>
      <c r="G5" s="114" t="s">
        <v>14</v>
      </c>
      <c r="H5" s="168" t="s">
        <v>10</v>
      </c>
      <c r="I5" s="114" t="s">
        <v>14</v>
      </c>
      <c r="J5" s="116" t="s">
        <v>10</v>
      </c>
      <c r="K5" s="35"/>
    </row>
    <row r="6" spans="2:11" s="124" customFormat="1" ht="16.5" thickBot="1" x14ac:dyDescent="0.3">
      <c r="B6" s="117">
        <v>1</v>
      </c>
      <c r="C6" s="118">
        <f>6+6+6</f>
        <v>18</v>
      </c>
      <c r="D6" s="119" t="s">
        <v>104</v>
      </c>
      <c r="E6" s="187">
        <v>171.22</v>
      </c>
      <c r="F6" s="188">
        <f>+E6*C6</f>
        <v>3081.96</v>
      </c>
      <c r="G6" s="187">
        <v>229.8</v>
      </c>
      <c r="H6" s="188">
        <f>+G6*C6</f>
        <v>4136.4000000000005</v>
      </c>
      <c r="I6" s="187">
        <v>218.61</v>
      </c>
      <c r="J6" s="189">
        <f>+I6*C6</f>
        <v>3934.9800000000005</v>
      </c>
      <c r="K6" s="123"/>
    </row>
    <row r="7" spans="2:11" x14ac:dyDescent="0.25">
      <c r="B7" s="1094" t="s">
        <v>4</v>
      </c>
      <c r="C7" s="1095"/>
      <c r="D7" s="1185"/>
      <c r="E7" s="1257">
        <f>SUM(F6:F6)</f>
        <v>3081.96</v>
      </c>
      <c r="F7" s="1258"/>
      <c r="G7" s="1257">
        <f>SUM(H6:H6)</f>
        <v>4136.4000000000005</v>
      </c>
      <c r="H7" s="1258"/>
      <c r="I7" s="1257">
        <f>SUM(J6:J6)</f>
        <v>3934.9800000000005</v>
      </c>
      <c r="J7" s="1259"/>
    </row>
    <row r="8" spans="2:11" x14ac:dyDescent="0.25">
      <c r="B8" s="1096" t="s">
        <v>5</v>
      </c>
      <c r="C8" s="1097"/>
      <c r="D8" s="1195"/>
      <c r="E8" s="1260">
        <f>+F6*0.35</f>
        <v>1078.6859999999999</v>
      </c>
      <c r="F8" s="1261"/>
      <c r="G8" s="1260">
        <v>1406.34</v>
      </c>
      <c r="H8" s="1261"/>
      <c r="I8" s="1260">
        <f>+I7*0.35</f>
        <v>1377.2430000000002</v>
      </c>
      <c r="J8" s="1262"/>
    </row>
    <row r="9" spans="2:11" x14ac:dyDescent="0.25">
      <c r="B9" s="1199" t="s">
        <v>2</v>
      </c>
      <c r="C9" s="1200"/>
      <c r="D9" s="1201"/>
      <c r="E9" s="1260">
        <f>(E7-E8)*15%</f>
        <v>300.49110000000002</v>
      </c>
      <c r="F9" s="1261"/>
      <c r="G9" s="1260">
        <f>(G7-G8)*15%</f>
        <v>409.50900000000007</v>
      </c>
      <c r="H9" s="1261"/>
      <c r="I9" s="1260">
        <f>(I7-I8)*15%</f>
        <v>383.66055</v>
      </c>
      <c r="J9" s="1262"/>
    </row>
    <row r="10" spans="2:11" ht="16.5" thickBot="1" x14ac:dyDescent="0.3">
      <c r="B10" s="1189" t="s">
        <v>3</v>
      </c>
      <c r="C10" s="1190"/>
      <c r="D10" s="1191"/>
      <c r="E10" s="1263">
        <f>(E7-E8)+E9</f>
        <v>2303.7651000000001</v>
      </c>
      <c r="F10" s="1264"/>
      <c r="G10" s="1265">
        <f>(G7-G8)+G9</f>
        <v>3139.5690000000004</v>
      </c>
      <c r="H10" s="1266"/>
      <c r="I10" s="1265">
        <f>(I7-I8)+I9</f>
        <v>2941.3975500000001</v>
      </c>
      <c r="J10" s="1267"/>
    </row>
    <row r="11" spans="2:11" ht="16.5" thickBot="1" x14ac:dyDescent="0.3">
      <c r="B11" s="1189" t="s">
        <v>106</v>
      </c>
      <c r="C11" s="1190"/>
      <c r="D11" s="1191"/>
      <c r="E11" s="1268">
        <f>+E10*35.87</f>
        <v>82636.054136999999</v>
      </c>
      <c r="F11" s="1269"/>
      <c r="G11" s="1192">
        <f>+G10*35.85</f>
        <v>112553.54865000003</v>
      </c>
      <c r="H11" s="1193"/>
      <c r="I11" s="1192">
        <f>+I10*35.85</f>
        <v>105449.10216750001</v>
      </c>
      <c r="J11" s="1194"/>
    </row>
    <row r="13" spans="2:11" x14ac:dyDescent="0.25">
      <c r="F13" s="129"/>
      <c r="G13" s="129"/>
      <c r="H13" s="129"/>
      <c r="J13" s="129"/>
    </row>
  </sheetData>
  <mergeCells count="25">
    <mergeCell ref="B10:D10"/>
    <mergeCell ref="E10:F10"/>
    <mergeCell ref="G10:H10"/>
    <mergeCell ref="I10:J10"/>
    <mergeCell ref="B11:D11"/>
    <mergeCell ref="E11:F11"/>
    <mergeCell ref="G11:H11"/>
    <mergeCell ref="I11:J11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  <mergeCell ref="I7:J7"/>
    <mergeCell ref="B3:J3"/>
    <mergeCell ref="B4:B5"/>
    <mergeCell ref="E4:F4"/>
    <mergeCell ref="G4:H4"/>
    <mergeCell ref="I4:J4"/>
  </mergeCells>
  <conditionalFormatting sqref="H6 J6">
    <cfRule type="expression" dxfId="506" priority="5">
      <formula>G6=""</formula>
    </cfRule>
    <cfRule type="expression" dxfId="505" priority="6">
      <formula>G6=MIN($E6,$G6,$I6)</formula>
    </cfRule>
  </conditionalFormatting>
  <pageMargins left="0.25" right="0.25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A2FB-D04D-45DF-89EA-0ABD3B903CD6}">
  <sheetPr codeName="Hoja120"/>
  <dimension ref="A2:H13"/>
  <sheetViews>
    <sheetView showGridLines="0" workbookViewId="0">
      <selection activeCell="D4" sqref="D4:E4"/>
    </sheetView>
  </sheetViews>
  <sheetFormatPr baseColWidth="10" defaultRowHeight="18.75" x14ac:dyDescent="0.3"/>
  <cols>
    <col min="1" max="1" width="3.5703125" style="518" bestFit="1" customWidth="1"/>
    <col min="2" max="2" width="7.5703125" style="518" bestFit="1" customWidth="1"/>
    <col min="3" max="3" width="21.140625" style="518" bestFit="1" customWidth="1"/>
    <col min="4" max="5" width="17.42578125" style="518" bestFit="1" customWidth="1"/>
    <col min="6" max="6" width="15.85546875" style="518" bestFit="1" customWidth="1"/>
    <col min="7" max="7" width="17.42578125" style="518" bestFit="1" customWidth="1"/>
    <col min="8" max="8" width="13.42578125" style="519" bestFit="1" customWidth="1"/>
    <col min="9" max="9" width="13.42578125" style="518" bestFit="1" customWidth="1"/>
    <col min="10" max="16384" width="11.42578125" style="518"/>
  </cols>
  <sheetData>
    <row r="2" spans="1:8" ht="19.5" thickBot="1" x14ac:dyDescent="0.35"/>
    <row r="3" spans="1:8" s="521" customFormat="1" ht="19.5" thickBot="1" x14ac:dyDescent="0.35">
      <c r="A3" s="1554" t="s">
        <v>1</v>
      </c>
      <c r="B3" s="1555"/>
      <c r="C3" s="1555"/>
      <c r="D3" s="1556"/>
      <c r="E3" s="1556"/>
      <c r="F3" s="1556"/>
      <c r="G3" s="1557"/>
      <c r="H3" s="520"/>
    </row>
    <row r="4" spans="1:8" s="521" customFormat="1" ht="19.5" thickBot="1" x14ac:dyDescent="0.3">
      <c r="A4" s="1558" t="s">
        <v>6</v>
      </c>
      <c r="B4" s="651" t="s">
        <v>17</v>
      </c>
      <c r="C4" s="652" t="s">
        <v>662</v>
      </c>
      <c r="D4" s="1559" t="s">
        <v>442</v>
      </c>
      <c r="E4" s="1560"/>
      <c r="F4" s="1561" t="s">
        <v>441</v>
      </c>
      <c r="G4" s="1560"/>
      <c r="H4" s="520"/>
    </row>
    <row r="5" spans="1:8" s="521" customFormat="1" ht="19.5" thickBot="1" x14ac:dyDescent="0.3">
      <c r="A5" s="1479"/>
      <c r="B5" s="654" t="s">
        <v>11</v>
      </c>
      <c r="C5" s="655" t="s">
        <v>0</v>
      </c>
      <c r="D5" s="784" t="s">
        <v>14</v>
      </c>
      <c r="E5" s="886" t="s">
        <v>10</v>
      </c>
      <c r="F5" s="784" t="s">
        <v>14</v>
      </c>
      <c r="G5" s="885" t="s">
        <v>10</v>
      </c>
      <c r="H5" s="520"/>
    </row>
    <row r="6" spans="1:8" s="523" customFormat="1" ht="19.5" thickBot="1" x14ac:dyDescent="0.35">
      <c r="A6" s="785">
        <v>1</v>
      </c>
      <c r="B6" s="786">
        <v>2</v>
      </c>
      <c r="C6" s="787" t="s">
        <v>663</v>
      </c>
      <c r="D6" s="788">
        <v>17600</v>
      </c>
      <c r="E6" s="820">
        <f>+D6*B6</f>
        <v>35200</v>
      </c>
      <c r="F6" s="788">
        <f>12000/B6</f>
        <v>6000</v>
      </c>
      <c r="G6" s="820">
        <f>+F6*B6</f>
        <v>12000</v>
      </c>
      <c r="H6" s="522"/>
    </row>
    <row r="7" spans="1:8" x14ac:dyDescent="0.3">
      <c r="A7" s="1562" t="s">
        <v>4</v>
      </c>
      <c r="B7" s="1563"/>
      <c r="C7" s="1564"/>
      <c r="D7" s="1565">
        <f>SUM(E6:E6)</f>
        <v>35200</v>
      </c>
      <c r="E7" s="1566"/>
      <c r="F7" s="1565">
        <f>SUM(G6:G6)</f>
        <v>12000</v>
      </c>
      <c r="G7" s="1567"/>
    </row>
    <row r="8" spans="1:8" x14ac:dyDescent="0.3">
      <c r="A8" s="1547" t="s">
        <v>87</v>
      </c>
      <c r="B8" s="1548"/>
      <c r="C8" s="1549"/>
      <c r="D8" s="1550">
        <v>0</v>
      </c>
      <c r="E8" s="1551"/>
      <c r="F8" s="1550">
        <v>0</v>
      </c>
      <c r="G8" s="1552"/>
    </row>
    <row r="9" spans="1:8" x14ac:dyDescent="0.3">
      <c r="A9" s="1441" t="s">
        <v>2</v>
      </c>
      <c r="B9" s="1442"/>
      <c r="C9" s="1553"/>
      <c r="D9" s="1550">
        <f>(D7-D8)*15%</f>
        <v>5280</v>
      </c>
      <c r="E9" s="1551"/>
      <c r="F9" s="1550">
        <v>0</v>
      </c>
      <c r="G9" s="1552"/>
    </row>
    <row r="10" spans="1:8" ht="19.5" thickBot="1" x14ac:dyDescent="0.35">
      <c r="A10" s="1439" t="s">
        <v>3</v>
      </c>
      <c r="B10" s="1440"/>
      <c r="C10" s="1542"/>
      <c r="D10" s="1543">
        <f>(D7-D8)+D9</f>
        <v>40480</v>
      </c>
      <c r="E10" s="1544"/>
      <c r="F10" s="1630">
        <f>(F7+F8)+F9</f>
        <v>12000</v>
      </c>
      <c r="G10" s="1631"/>
    </row>
    <row r="12" spans="1:8" x14ac:dyDescent="0.3">
      <c r="D12" s="1546"/>
      <c r="E12" s="1546"/>
      <c r="G12" s="524"/>
    </row>
    <row r="13" spans="1:8" x14ac:dyDescent="0.3">
      <c r="E13" s="524"/>
    </row>
  </sheetData>
  <mergeCells count="17">
    <mergeCell ref="A3:G3"/>
    <mergeCell ref="A4:A5"/>
    <mergeCell ref="D4:E4"/>
    <mergeCell ref="F4:G4"/>
    <mergeCell ref="A7:C7"/>
    <mergeCell ref="D7:E7"/>
    <mergeCell ref="F7:G7"/>
    <mergeCell ref="A10:C10"/>
    <mergeCell ref="D10:E10"/>
    <mergeCell ref="F10:G10"/>
    <mergeCell ref="D12:E12"/>
    <mergeCell ref="A8:C8"/>
    <mergeCell ref="D8:E8"/>
    <mergeCell ref="F8:G8"/>
    <mergeCell ref="A9:C9"/>
    <mergeCell ref="D9:E9"/>
    <mergeCell ref="F9:G9"/>
  </mergeCells>
  <pageMargins left="0.25" right="0.25" top="0.75" bottom="0.75" header="0.3" footer="0.3"/>
  <pageSetup orientation="portrait" r:id="rId1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1F80A-17FF-419F-8543-2B152AF28905}">
  <sheetPr codeName="Hoja121"/>
  <dimension ref="B2:I11"/>
  <sheetViews>
    <sheetView showGridLines="0" workbookViewId="0">
      <selection activeCell="E9" sqref="E9:F9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664</v>
      </c>
      <c r="E4" s="1252" t="s">
        <v>505</v>
      </c>
      <c r="F4" s="1251"/>
      <c r="G4" s="1248" t="s">
        <v>506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884" t="s">
        <v>10</v>
      </c>
      <c r="G5" s="31" t="s">
        <v>14</v>
      </c>
      <c r="H5" s="32" t="s">
        <v>10</v>
      </c>
      <c r="I5" s="6"/>
    </row>
    <row r="6" spans="2:9" s="3" customFormat="1" ht="18" thickBot="1" x14ac:dyDescent="0.35">
      <c r="B6" s="19">
        <v>1</v>
      </c>
      <c r="C6" s="16">
        <v>5</v>
      </c>
      <c r="D6" s="9" t="s">
        <v>383</v>
      </c>
      <c r="E6" s="24">
        <v>800</v>
      </c>
      <c r="F6" s="23">
        <f>+E6*C6</f>
        <v>4000</v>
      </c>
      <c r="G6" s="24">
        <v>1000</v>
      </c>
      <c r="H6" s="27">
        <f>G6*C6</f>
        <v>5000</v>
      </c>
      <c r="I6" s="547"/>
    </row>
    <row r="7" spans="2:9" x14ac:dyDescent="0.3">
      <c r="B7" s="1217" t="s">
        <v>4</v>
      </c>
      <c r="C7" s="1218"/>
      <c r="D7" s="1219"/>
      <c r="E7" s="1245">
        <f>SUM(F6:F6)</f>
        <v>4000</v>
      </c>
      <c r="F7" s="1246"/>
      <c r="G7" s="1245">
        <f>SUM(H6:H6)</f>
        <v>5000</v>
      </c>
      <c r="H7" s="1247"/>
    </row>
    <row r="8" spans="2:9" x14ac:dyDescent="0.3">
      <c r="B8" s="1208" t="s">
        <v>2</v>
      </c>
      <c r="C8" s="1209"/>
      <c r="D8" s="1210"/>
      <c r="E8" s="1242">
        <v>0</v>
      </c>
      <c r="F8" s="1243"/>
      <c r="G8" s="1242">
        <v>0</v>
      </c>
      <c r="H8" s="1244"/>
    </row>
    <row r="9" spans="2:9" ht="18" thickBot="1" x14ac:dyDescent="0.35">
      <c r="B9" s="1202" t="s">
        <v>3</v>
      </c>
      <c r="C9" s="1203"/>
      <c r="D9" s="1204"/>
      <c r="E9" s="1584">
        <f>(E7)+E8</f>
        <v>4000</v>
      </c>
      <c r="F9" s="1585"/>
      <c r="G9" s="1253">
        <f>(G7)+G8</f>
        <v>5000</v>
      </c>
      <c r="H9" s="1255"/>
    </row>
    <row r="11" spans="2:9" x14ac:dyDescent="0.3">
      <c r="F11" s="4"/>
      <c r="G11" s="4"/>
      <c r="H11" s="4"/>
    </row>
  </sheetData>
  <mergeCells count="13">
    <mergeCell ref="B3:H3"/>
    <mergeCell ref="B4:B5"/>
    <mergeCell ref="E4:F4"/>
    <mergeCell ref="G4:H4"/>
    <mergeCell ref="B7:D7"/>
    <mergeCell ref="E7:F7"/>
    <mergeCell ref="G7:H7"/>
    <mergeCell ref="B8:D8"/>
    <mergeCell ref="E8:F8"/>
    <mergeCell ref="G8:H8"/>
    <mergeCell ref="B9:D9"/>
    <mergeCell ref="E9:F9"/>
    <mergeCell ref="G9:H9"/>
  </mergeCells>
  <conditionalFormatting sqref="F6 H6">
    <cfRule type="expression" dxfId="101" priority="1">
      <formula>E6=""</formula>
    </cfRule>
    <cfRule type="expression" dxfId="100" priority="2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C8AC53-3F0D-42AE-9432-5D6ECCDAF915}">
  <sheetPr codeName="Hoja122"/>
  <dimension ref="B2:I15"/>
  <sheetViews>
    <sheetView showGridLines="0" workbookViewId="0">
      <selection activeCell="C6" sqref="C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.140625" style="1" bestFit="1" customWidth="1"/>
    <col min="5" max="5" width="14.140625" style="1" bestFit="1" customWidth="1"/>
    <col min="6" max="8" width="15.425781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666</v>
      </c>
      <c r="E4" s="1252" t="s">
        <v>227</v>
      </c>
      <c r="F4" s="1251"/>
      <c r="G4" s="1248" t="s">
        <v>667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911" t="s">
        <v>10</v>
      </c>
      <c r="G5" s="31" t="s">
        <v>14</v>
      </c>
      <c r="H5" s="32" t="s">
        <v>10</v>
      </c>
      <c r="I5" s="6"/>
    </row>
    <row r="6" spans="2:9" s="3" customFormat="1" x14ac:dyDescent="0.3">
      <c r="B6" s="19">
        <v>1</v>
      </c>
      <c r="C6" s="16">
        <v>3</v>
      </c>
      <c r="D6" s="9" t="s">
        <v>668</v>
      </c>
      <c r="E6" s="24" t="s">
        <v>36</v>
      </c>
      <c r="F6" s="23" t="s">
        <v>36</v>
      </c>
      <c r="G6" s="24">
        <f>500*TC!C3</f>
        <v>17847.400000000001</v>
      </c>
      <c r="H6" s="23">
        <f>+G6*$C6</f>
        <v>53542.200000000004</v>
      </c>
      <c r="I6" s="7"/>
    </row>
    <row r="7" spans="2:9" s="3" customFormat="1" x14ac:dyDescent="0.3">
      <c r="B7" s="20">
        <v>2</v>
      </c>
      <c r="C7" s="17">
        <v>3</v>
      </c>
      <c r="D7" s="9" t="s">
        <v>669</v>
      </c>
      <c r="E7" s="25">
        <f>((299.25+91.2)/C7)*TC!C3</f>
        <v>4645.6782200000007</v>
      </c>
      <c r="F7" s="23">
        <f t="shared" ref="F7:F8" si="0">+E7*$C7</f>
        <v>13937.034660000001</v>
      </c>
      <c r="G7" s="25" t="s">
        <v>36</v>
      </c>
      <c r="H7" s="23" t="s">
        <v>36</v>
      </c>
      <c r="I7" s="7"/>
    </row>
    <row r="8" spans="2:9" s="3" customFormat="1" ht="18" thickBot="1" x14ac:dyDescent="0.35">
      <c r="B8" s="20">
        <v>3</v>
      </c>
      <c r="C8" s="17">
        <v>2</v>
      </c>
      <c r="D8" s="9" t="s">
        <v>670</v>
      </c>
      <c r="E8" s="25">
        <f>(300.2/C8)*TC!C3</f>
        <v>5357.7894799999995</v>
      </c>
      <c r="F8" s="23">
        <f t="shared" si="0"/>
        <v>10715.578959999999</v>
      </c>
      <c r="G8" s="25" t="s">
        <v>36</v>
      </c>
      <c r="H8" s="23" t="s">
        <v>36</v>
      </c>
      <c r="I8" s="7"/>
    </row>
    <row r="9" spans="2:9" x14ac:dyDescent="0.3">
      <c r="B9" s="1217" t="s">
        <v>4</v>
      </c>
      <c r="C9" s="1218"/>
      <c r="D9" s="1219"/>
      <c r="E9" s="1245">
        <f>SUM(F6:F8)</f>
        <v>24652.61362</v>
      </c>
      <c r="F9" s="1246"/>
      <c r="G9" s="1245">
        <f>SUM(H6:H8)</f>
        <v>53542.200000000004</v>
      </c>
      <c r="H9" s="1247"/>
    </row>
    <row r="10" spans="2:9" x14ac:dyDescent="0.3">
      <c r="B10" s="1205" t="s">
        <v>5</v>
      </c>
      <c r="C10" s="1206"/>
      <c r="D10" s="1207"/>
      <c r="E10" s="1283">
        <v>0.05</v>
      </c>
      <c r="F10" s="1284"/>
      <c r="G10" s="1283">
        <v>0</v>
      </c>
      <c r="H10" s="1322"/>
    </row>
    <row r="11" spans="2:9" x14ac:dyDescent="0.3">
      <c r="B11" s="1208" t="s">
        <v>2</v>
      </c>
      <c r="C11" s="1209"/>
      <c r="D11" s="1210"/>
      <c r="E11" s="1242">
        <f>(E9)*15%</f>
        <v>3697.8920429999998</v>
      </c>
      <c r="F11" s="1243"/>
      <c r="G11" s="1242">
        <f>(G9)*15%</f>
        <v>8031.33</v>
      </c>
      <c r="H11" s="1244"/>
    </row>
    <row r="12" spans="2:9" ht="18" thickBot="1" x14ac:dyDescent="0.35">
      <c r="B12" s="1202" t="s">
        <v>3</v>
      </c>
      <c r="C12" s="1203"/>
      <c r="D12" s="1204"/>
      <c r="E12" s="1628">
        <f>(E9)+E11</f>
        <v>28350.505663</v>
      </c>
      <c r="F12" s="1629"/>
      <c r="G12" s="1253">
        <f>(G9)+G11</f>
        <v>61573.530000000006</v>
      </c>
      <c r="H12" s="1255"/>
    </row>
    <row r="14" spans="2:9" x14ac:dyDescent="0.3">
      <c r="F14" s="4"/>
      <c r="G14" s="4"/>
      <c r="H14" s="4"/>
    </row>
    <row r="15" spans="2:9" x14ac:dyDescent="0.3">
      <c r="H15" s="564"/>
    </row>
  </sheetData>
  <mergeCells count="16">
    <mergeCell ref="B3:H3"/>
    <mergeCell ref="B4:B5"/>
    <mergeCell ref="E4:F4"/>
    <mergeCell ref="G4:H4"/>
    <mergeCell ref="B9:D9"/>
    <mergeCell ref="E9:F9"/>
    <mergeCell ref="G9:H9"/>
    <mergeCell ref="B12:D12"/>
    <mergeCell ref="E12:F12"/>
    <mergeCell ref="G12:H12"/>
    <mergeCell ref="B10:D10"/>
    <mergeCell ref="E10:F10"/>
    <mergeCell ref="G10:H10"/>
    <mergeCell ref="B11:D11"/>
    <mergeCell ref="E11:F11"/>
    <mergeCell ref="G11:H11"/>
  </mergeCells>
  <conditionalFormatting sqref="F6:F8 H6:H8">
    <cfRule type="expression" dxfId="99" priority="1">
      <formula>E6=MIN($E6,$G6)</formula>
    </cfRule>
  </conditionalFormatting>
  <pageMargins left="0.25" right="0.25" top="0.75" bottom="0.75" header="0.3" footer="0.3"/>
  <pageSetup orientation="portrait" r:id="rId1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64447-CCA7-4162-9DC5-33F93B443D23}">
  <sheetPr codeName="Hoja123"/>
  <dimension ref="A1:N18"/>
  <sheetViews>
    <sheetView showGridLines="0" workbookViewId="0">
      <selection activeCell="N10" sqref="N10"/>
    </sheetView>
  </sheetViews>
  <sheetFormatPr baseColWidth="10" defaultRowHeight="15" x14ac:dyDescent="0.25"/>
  <cols>
    <col min="1" max="1" width="3.5703125" style="53" bestFit="1" customWidth="1"/>
    <col min="2" max="2" width="5.85546875" style="53" bestFit="1" customWidth="1"/>
    <col min="3" max="3" width="18.85546875" style="53" bestFit="1" customWidth="1"/>
    <col min="4" max="7" width="11.7109375" style="53" bestFit="1" customWidth="1"/>
    <col min="8" max="9" width="11.7109375" style="53" hidden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6384" width="11.42578125" style="53"/>
  </cols>
  <sheetData>
    <row r="1" spans="1:14" ht="15.75" thickBot="1" x14ac:dyDescent="0.3">
      <c r="A1" s="1115" t="s">
        <v>631</v>
      </c>
      <c r="B1" s="1128"/>
      <c r="C1" s="1128"/>
      <c r="D1" s="1128"/>
      <c r="E1" s="1128"/>
      <c r="F1" s="1128"/>
      <c r="G1" s="1128"/>
      <c r="H1" s="1128"/>
      <c r="I1" s="1128"/>
      <c r="J1" s="1128"/>
      <c r="K1" s="1128"/>
      <c r="L1" s="1128"/>
      <c r="M1" s="1116"/>
    </row>
    <row r="2" spans="1:14" x14ac:dyDescent="0.25">
      <c r="A2" s="1380" t="s">
        <v>6</v>
      </c>
      <c r="B2" s="825" t="s">
        <v>17</v>
      </c>
      <c r="C2" s="826" t="s">
        <v>657</v>
      </c>
      <c r="D2" s="1530" t="s">
        <v>92</v>
      </c>
      <c r="E2" s="1530"/>
      <c r="F2" s="1530" t="s">
        <v>101</v>
      </c>
      <c r="G2" s="1531"/>
      <c r="H2" s="1632" t="s">
        <v>438</v>
      </c>
      <c r="I2" s="1382"/>
      <c r="J2" s="1382" t="s">
        <v>329</v>
      </c>
      <c r="K2" s="1382"/>
      <c r="L2" s="1382" t="s">
        <v>49</v>
      </c>
      <c r="M2" s="1383"/>
    </row>
    <row r="3" spans="1:14" ht="15.75" thickBot="1" x14ac:dyDescent="0.3">
      <c r="A3" s="1381"/>
      <c r="B3" s="371" t="s">
        <v>11</v>
      </c>
      <c r="C3" s="372" t="s">
        <v>0</v>
      </c>
      <c r="D3" s="372" t="s">
        <v>14</v>
      </c>
      <c r="E3" s="372" t="s">
        <v>10</v>
      </c>
      <c r="F3" s="372" t="s">
        <v>14</v>
      </c>
      <c r="G3" s="373" t="s">
        <v>10</v>
      </c>
      <c r="H3" s="931" t="s">
        <v>14</v>
      </c>
      <c r="I3" s="372" t="s">
        <v>10</v>
      </c>
      <c r="J3" s="372" t="s">
        <v>14</v>
      </c>
      <c r="K3" s="372" t="s">
        <v>10</v>
      </c>
      <c r="L3" s="372" t="s">
        <v>14</v>
      </c>
      <c r="M3" s="373" t="s">
        <v>10</v>
      </c>
    </row>
    <row r="4" spans="1:14" s="69" customFormat="1" ht="15.75" thickBot="1" x14ac:dyDescent="0.3">
      <c r="A4" s="932">
        <v>1</v>
      </c>
      <c r="B4" s="933">
        <v>12</v>
      </c>
      <c r="C4" s="934" t="s">
        <v>671</v>
      </c>
      <c r="D4" s="935">
        <v>24.52</v>
      </c>
      <c r="E4" s="936">
        <f>+D4*B4</f>
        <v>294.24</v>
      </c>
      <c r="F4" s="935">
        <v>50.6</v>
      </c>
      <c r="G4" s="937">
        <f>+F4*B4</f>
        <v>607.20000000000005</v>
      </c>
      <c r="H4" s="66"/>
      <c r="I4" s="374">
        <f t="shared" ref="I4:I10" si="0">+H4*$B4</f>
        <v>0</v>
      </c>
      <c r="J4" s="374"/>
      <c r="K4" s="374">
        <f>+J4*B4</f>
        <v>0</v>
      </c>
      <c r="L4" s="374"/>
      <c r="M4" s="375">
        <f>+L4*$B4</f>
        <v>0</v>
      </c>
      <c r="N4" s="68"/>
    </row>
    <row r="5" spans="1:14" s="69" customFormat="1" x14ac:dyDescent="0.25">
      <c r="A5" s="914">
        <v>2</v>
      </c>
      <c r="B5" s="922">
        <v>12</v>
      </c>
      <c r="C5" s="923" t="s">
        <v>672</v>
      </c>
      <c r="D5" s="924">
        <v>132</v>
      </c>
      <c r="E5" s="924">
        <f t="shared" ref="E5" si="1">+D5*B5</f>
        <v>1584</v>
      </c>
      <c r="F5" s="924">
        <v>164.59</v>
      </c>
      <c r="G5" s="925">
        <f>+F5*B5</f>
        <v>1975.08</v>
      </c>
      <c r="H5" s="920"/>
      <c r="I5" s="376">
        <f t="shared" si="0"/>
        <v>0</v>
      </c>
      <c r="J5" s="376"/>
      <c r="K5" s="376">
        <f t="shared" ref="K5:K10" si="2">+J5*B5</f>
        <v>0</v>
      </c>
      <c r="L5" s="376"/>
      <c r="M5" s="377">
        <f>+L5*$B5</f>
        <v>0</v>
      </c>
      <c r="N5" s="68"/>
    </row>
    <row r="6" spans="1:14" s="69" customFormat="1" ht="15.75" thickBot="1" x14ac:dyDescent="0.3">
      <c r="A6" s="915">
        <v>3</v>
      </c>
      <c r="B6" s="926">
        <v>12</v>
      </c>
      <c r="C6" s="927" t="s">
        <v>675</v>
      </c>
      <c r="D6" s="916">
        <v>176.23</v>
      </c>
      <c r="E6" s="928">
        <f t="shared" ref="E6:E7" si="3">+D6*B6</f>
        <v>2114.7599999999998</v>
      </c>
      <c r="F6" s="916">
        <v>52.5</v>
      </c>
      <c r="G6" s="929">
        <f t="shared" ref="G6" si="4">+F6*B6</f>
        <v>630</v>
      </c>
      <c r="H6" s="920"/>
      <c r="I6" s="376">
        <f t="shared" si="0"/>
        <v>0</v>
      </c>
      <c r="J6" s="376"/>
      <c r="K6" s="376">
        <f t="shared" si="2"/>
        <v>0</v>
      </c>
      <c r="L6" s="376"/>
      <c r="M6" s="377" t="s">
        <v>36</v>
      </c>
      <c r="N6" s="68"/>
    </row>
    <row r="7" spans="1:14" s="69" customFormat="1" x14ac:dyDescent="0.25">
      <c r="A7" s="914">
        <v>4</v>
      </c>
      <c r="B7" s="922">
        <v>12</v>
      </c>
      <c r="C7" s="923" t="s">
        <v>673</v>
      </c>
      <c r="D7" s="924">
        <v>124.86</v>
      </c>
      <c r="E7" s="924">
        <f t="shared" si="3"/>
        <v>1498.32</v>
      </c>
      <c r="F7" s="924">
        <v>144.71</v>
      </c>
      <c r="G7" s="925">
        <f>+F7*B7</f>
        <v>1736.52</v>
      </c>
      <c r="H7" s="920"/>
      <c r="I7" s="376">
        <f t="shared" si="0"/>
        <v>0</v>
      </c>
      <c r="J7" s="376"/>
      <c r="K7" s="376">
        <f t="shared" si="2"/>
        <v>0</v>
      </c>
      <c r="L7" s="376"/>
      <c r="M7" s="377">
        <f>+L7*$B7</f>
        <v>0</v>
      </c>
      <c r="N7" s="68"/>
    </row>
    <row r="8" spans="1:14" s="69" customFormat="1" ht="15.75" thickBot="1" x14ac:dyDescent="0.3">
      <c r="A8" s="915">
        <v>5</v>
      </c>
      <c r="B8" s="930">
        <v>12</v>
      </c>
      <c r="C8" s="927" t="s">
        <v>676</v>
      </c>
      <c r="D8" s="928">
        <v>212</v>
      </c>
      <c r="E8" s="928">
        <f>+D8*B8</f>
        <v>2544</v>
      </c>
      <c r="F8" s="928">
        <v>153.03</v>
      </c>
      <c r="G8" s="929">
        <f>+F8*B8</f>
        <v>1836.3600000000001</v>
      </c>
      <c r="H8" s="920"/>
      <c r="I8" s="376">
        <f t="shared" si="0"/>
        <v>0</v>
      </c>
      <c r="J8" s="376"/>
      <c r="K8" s="376">
        <f t="shared" si="2"/>
        <v>0</v>
      </c>
      <c r="L8" s="376"/>
      <c r="M8" s="377">
        <f>+L8*$B8</f>
        <v>0</v>
      </c>
      <c r="N8" s="68"/>
    </row>
    <row r="9" spans="1:14" s="69" customFormat="1" x14ac:dyDescent="0.25">
      <c r="A9" s="62">
        <v>6</v>
      </c>
      <c r="B9" s="938">
        <v>12</v>
      </c>
      <c r="C9" s="921" t="s">
        <v>674</v>
      </c>
      <c r="D9" s="374">
        <v>42</v>
      </c>
      <c r="E9" s="374">
        <f t="shared" ref="E9" si="5">+D9*B9</f>
        <v>504</v>
      </c>
      <c r="F9" s="374">
        <v>16.690000000000001</v>
      </c>
      <c r="G9" s="375">
        <f t="shared" ref="G9" si="6">+F9*B9</f>
        <v>200.28000000000003</v>
      </c>
      <c r="H9" s="920"/>
      <c r="I9" s="376">
        <f t="shared" si="0"/>
        <v>0</v>
      </c>
      <c r="J9" s="376"/>
      <c r="K9" s="376">
        <f t="shared" si="2"/>
        <v>0</v>
      </c>
      <c r="L9" s="376"/>
      <c r="M9" s="377">
        <f>+L9*$B9</f>
        <v>0</v>
      </c>
      <c r="N9" s="68"/>
    </row>
    <row r="10" spans="1:14" s="69" customFormat="1" ht="15.75" thickBot="1" x14ac:dyDescent="0.3">
      <c r="A10" s="70">
        <v>7</v>
      </c>
      <c r="B10" s="930">
        <v>12</v>
      </c>
      <c r="C10" s="927" t="s">
        <v>677</v>
      </c>
      <c r="D10" s="928">
        <v>32.520000000000003</v>
      </c>
      <c r="E10" s="928">
        <f t="shared" ref="E10" si="7">+D10*B10</f>
        <v>390.24</v>
      </c>
      <c r="F10" s="928">
        <v>22.39</v>
      </c>
      <c r="G10" s="929">
        <f>+F10</f>
        <v>22.39</v>
      </c>
      <c r="H10" s="920"/>
      <c r="I10" s="376">
        <f t="shared" si="0"/>
        <v>0</v>
      </c>
      <c r="J10" s="376"/>
      <c r="K10" s="376">
        <f t="shared" si="2"/>
        <v>0</v>
      </c>
      <c r="L10" s="376"/>
      <c r="M10" s="377">
        <f>+L10*$B10</f>
        <v>0</v>
      </c>
      <c r="N10" s="919" t="s">
        <v>678</v>
      </c>
    </row>
    <row r="11" spans="1:14" s="54" customFormat="1" x14ac:dyDescent="0.25">
      <c r="A11" s="1132" t="s">
        <v>4</v>
      </c>
      <c r="B11" s="1133"/>
      <c r="C11" s="1133"/>
      <c r="D11" s="1378">
        <f>SUM(E4:E10)</f>
        <v>8929.56</v>
      </c>
      <c r="E11" s="1378"/>
      <c r="F11" s="1378">
        <f>SUM(G4:G10)</f>
        <v>7007.83</v>
      </c>
      <c r="G11" s="1379"/>
      <c r="H11" s="1538">
        <f>SUM(I4:I10)</f>
        <v>0</v>
      </c>
      <c r="I11" s="1528"/>
      <c r="J11" s="1528">
        <f>SUM(K4:K10)</f>
        <v>0</v>
      </c>
      <c r="K11" s="1528"/>
      <c r="L11" s="1378">
        <f>SUM(M4:M10)</f>
        <v>0</v>
      </c>
      <c r="M11" s="1379"/>
    </row>
    <row r="12" spans="1:14" s="54" customFormat="1" x14ac:dyDescent="0.25">
      <c r="A12" s="1123" t="s">
        <v>5</v>
      </c>
      <c r="B12" s="1124"/>
      <c r="C12" s="1124"/>
      <c r="D12" s="1374">
        <v>0</v>
      </c>
      <c r="E12" s="1374"/>
      <c r="F12" s="1374">
        <v>0</v>
      </c>
      <c r="G12" s="1375"/>
      <c r="H12" s="1271">
        <v>0.1</v>
      </c>
      <c r="I12" s="1376"/>
      <c r="J12" s="1374"/>
      <c r="K12" s="1374"/>
      <c r="L12" s="1374"/>
      <c r="M12" s="1375"/>
    </row>
    <row r="13" spans="1:14" s="54" customFormat="1" x14ac:dyDescent="0.25">
      <c r="A13" s="1123" t="s">
        <v>2</v>
      </c>
      <c r="B13" s="1124"/>
      <c r="C13" s="1124"/>
      <c r="D13" s="1374">
        <f>+D11*0.15</f>
        <v>1339.434</v>
      </c>
      <c r="E13" s="1374"/>
      <c r="F13" s="1374">
        <f>+F11*0.15</f>
        <v>1051.1744999999999</v>
      </c>
      <c r="G13" s="1375"/>
      <c r="H13" s="1120">
        <v>0</v>
      </c>
      <c r="I13" s="1374"/>
      <c r="J13" s="1374">
        <v>0</v>
      </c>
      <c r="K13" s="1374"/>
      <c r="L13" s="1374">
        <v>0</v>
      </c>
      <c r="M13" s="1375"/>
    </row>
    <row r="14" spans="1:14" s="54" customFormat="1" ht="15.75" thickBot="1" x14ac:dyDescent="0.3">
      <c r="A14" s="1109" t="s">
        <v>3</v>
      </c>
      <c r="B14" s="1110"/>
      <c r="C14" s="1110"/>
      <c r="D14" s="1372">
        <f>(D11)+D13</f>
        <v>10268.993999999999</v>
      </c>
      <c r="E14" s="1372"/>
      <c r="F14" s="1372">
        <f>(F11)+F13</f>
        <v>8059.0045</v>
      </c>
      <c r="G14" s="1373"/>
      <c r="H14" s="1113">
        <f t="shared" ref="H14:J14" si="8">(H11)+H13</f>
        <v>0</v>
      </c>
      <c r="I14" s="1372"/>
      <c r="J14" s="1372">
        <f t="shared" si="8"/>
        <v>0</v>
      </c>
      <c r="K14" s="1372"/>
      <c r="L14" s="1372">
        <f t="shared" ref="L14" si="9">(L11)+L13</f>
        <v>0</v>
      </c>
      <c r="M14" s="1373"/>
    </row>
    <row r="16" spans="1:14" s="54" customFormat="1" x14ac:dyDescent="0.25">
      <c r="A16" s="53"/>
      <c r="B16" s="53"/>
      <c r="C16" s="53"/>
      <c r="D16" s="53"/>
      <c r="E16" s="72"/>
      <c r="F16" s="72"/>
      <c r="G16" s="72"/>
      <c r="H16" s="53"/>
      <c r="I16" s="72"/>
      <c r="J16" s="72"/>
      <c r="K16" s="72"/>
      <c r="L16" s="53"/>
      <c r="M16" s="72"/>
    </row>
    <row r="18" spans="1:13" s="54" customFormat="1" x14ac:dyDescent="0.25">
      <c r="A18" s="53"/>
      <c r="B18" s="53"/>
      <c r="C18" s="53"/>
      <c r="D18" s="53"/>
      <c r="E18" s="53"/>
      <c r="F18" s="53"/>
      <c r="G18" s="413"/>
      <c r="H18" s="53"/>
      <c r="I18" s="53"/>
      <c r="J18" s="53"/>
      <c r="K18" s="53"/>
      <c r="L18" s="53"/>
      <c r="M18" s="53"/>
    </row>
  </sheetData>
  <mergeCells count="31">
    <mergeCell ref="A1:M1"/>
    <mergeCell ref="A2:A3"/>
    <mergeCell ref="D2:E2"/>
    <mergeCell ref="F2:G2"/>
    <mergeCell ref="H2:I2"/>
    <mergeCell ref="J2:K2"/>
    <mergeCell ref="L2:M2"/>
    <mergeCell ref="L12:M12"/>
    <mergeCell ref="A11:C11"/>
    <mergeCell ref="D11:E11"/>
    <mergeCell ref="F11:G11"/>
    <mergeCell ref="H11:I11"/>
    <mergeCell ref="J11:K11"/>
    <mergeCell ref="L11:M11"/>
    <mergeCell ref="A12:C12"/>
    <mergeCell ref="D12:E12"/>
    <mergeCell ref="F12:G12"/>
    <mergeCell ref="H12:I12"/>
    <mergeCell ref="J12:K12"/>
    <mergeCell ref="L14:M14"/>
    <mergeCell ref="A13:C13"/>
    <mergeCell ref="D13:E13"/>
    <mergeCell ref="F13:G13"/>
    <mergeCell ref="H13:I13"/>
    <mergeCell ref="J13:K13"/>
    <mergeCell ref="L13:M13"/>
    <mergeCell ref="A14:C14"/>
    <mergeCell ref="D14:E14"/>
    <mergeCell ref="F14:G14"/>
    <mergeCell ref="H14:I14"/>
    <mergeCell ref="J14:K14"/>
  </mergeCells>
  <conditionalFormatting sqref="M4:M10 I4:I10 K4:K10">
    <cfRule type="expression" dxfId="98" priority="3">
      <formula>H4=""</formula>
    </cfRule>
  </conditionalFormatting>
  <conditionalFormatting sqref="K4:K10 M4:M10 I4:I10">
    <cfRule type="expression" dxfId="97" priority="4">
      <formula>H4=MIN($D4,$F4,$H4,$J4,$L4)</formula>
    </cfRule>
  </conditionalFormatting>
  <conditionalFormatting sqref="K4:K10">
    <cfRule type="expression" dxfId="96" priority="2">
      <formula>J4=MIN($D4,$F4,$H4,$L4)</formula>
    </cfRule>
  </conditionalFormatting>
  <pageMargins left="0.25" right="0.25" top="0.75" bottom="0.75" header="0.3" footer="0.3"/>
  <pageSetup orientation="portrait" r:id="rId1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3590C-F660-4E6B-9CF7-C8851F6DC00B}">
  <sheetPr codeName="Hoja124"/>
  <dimension ref="A2:L23"/>
  <sheetViews>
    <sheetView showGridLines="0" workbookViewId="0">
      <selection activeCell="A3" sqref="A3:K3"/>
    </sheetView>
  </sheetViews>
  <sheetFormatPr baseColWidth="10" defaultRowHeight="15" x14ac:dyDescent="0.25"/>
  <cols>
    <col min="1" max="1" width="3.5703125" style="53" bestFit="1" customWidth="1"/>
    <col min="2" max="2" width="5.85546875" style="53" bestFit="1" customWidth="1"/>
    <col min="3" max="3" width="17.85546875" style="53" bestFit="1" customWidth="1"/>
    <col min="4" max="9" width="12.7109375" style="53" bestFit="1" customWidth="1"/>
    <col min="10" max="10" width="10.140625" style="53" bestFit="1" customWidth="1"/>
    <col min="11" max="11" width="11.7109375" style="53" bestFit="1" customWidth="1"/>
    <col min="12" max="12" width="13.42578125" style="54" bestFit="1" customWidth="1"/>
    <col min="13" max="13" width="13.42578125" style="53" bestFit="1" customWidth="1"/>
    <col min="14" max="16384" width="11.42578125" style="53"/>
  </cols>
  <sheetData>
    <row r="2" spans="1:12" ht="15.75" thickBot="1" x14ac:dyDescent="0.3"/>
    <row r="3" spans="1:12" ht="15.75" thickBot="1" x14ac:dyDescent="0.3">
      <c r="A3" s="1115" t="s">
        <v>1</v>
      </c>
      <c r="B3" s="1127"/>
      <c r="C3" s="1127"/>
      <c r="D3" s="1128"/>
      <c r="E3" s="1128"/>
      <c r="F3" s="1128"/>
      <c r="G3" s="1128"/>
      <c r="H3" s="1128"/>
      <c r="I3" s="1128"/>
      <c r="J3" s="1128"/>
      <c r="K3" s="1116"/>
    </row>
    <row r="4" spans="1:12" ht="15.75" thickBot="1" x14ac:dyDescent="0.3">
      <c r="A4" s="1129" t="s">
        <v>6</v>
      </c>
      <c r="B4" s="55" t="s">
        <v>17</v>
      </c>
      <c r="C4" s="56" t="s">
        <v>679</v>
      </c>
      <c r="D4" s="1131" t="s">
        <v>53</v>
      </c>
      <c r="E4" s="1116"/>
      <c r="F4" s="1115" t="s">
        <v>52</v>
      </c>
      <c r="G4" s="1116"/>
      <c r="H4" s="1115" t="s">
        <v>51</v>
      </c>
      <c r="I4" s="1116"/>
      <c r="J4" s="1115" t="s">
        <v>49</v>
      </c>
      <c r="K4" s="1116"/>
    </row>
    <row r="5" spans="1:12" ht="15.75" thickBot="1" x14ac:dyDescent="0.3">
      <c r="A5" s="1130"/>
      <c r="B5" s="57" t="s">
        <v>11</v>
      </c>
      <c r="C5" s="58" t="s">
        <v>0</v>
      </c>
      <c r="D5" s="59" t="s">
        <v>14</v>
      </c>
      <c r="E5" s="913" t="s">
        <v>10</v>
      </c>
      <c r="F5" s="59" t="s">
        <v>14</v>
      </c>
      <c r="G5" s="913" t="s">
        <v>10</v>
      </c>
      <c r="H5" s="59" t="s">
        <v>14</v>
      </c>
      <c r="I5" s="61" t="s">
        <v>10</v>
      </c>
      <c r="J5" s="59" t="s">
        <v>14</v>
      </c>
      <c r="K5" s="61" t="s">
        <v>10</v>
      </c>
    </row>
    <row r="6" spans="1:12" s="69" customFormat="1" x14ac:dyDescent="0.25">
      <c r="A6" s="62">
        <v>1</v>
      </c>
      <c r="B6" s="63">
        <v>196</v>
      </c>
      <c r="C6" s="64" t="s">
        <v>401</v>
      </c>
      <c r="D6" s="65">
        <f>(650/B6)*TC!$C$3</f>
        <v>118.37561224489797</v>
      </c>
      <c r="E6" s="66">
        <f>+D6*$B6</f>
        <v>23201.620000000003</v>
      </c>
      <c r="F6" s="65" t="s">
        <v>36</v>
      </c>
      <c r="G6" s="66" t="s">
        <v>36</v>
      </c>
      <c r="H6" s="65" t="s">
        <v>36</v>
      </c>
      <c r="I6" s="66" t="s">
        <v>36</v>
      </c>
      <c r="J6" s="65" t="s">
        <v>36</v>
      </c>
      <c r="K6" s="66" t="s">
        <v>36</v>
      </c>
      <c r="L6" s="68"/>
    </row>
    <row r="7" spans="1:12" s="69" customFormat="1" ht="30" x14ac:dyDescent="0.25">
      <c r="A7" s="62">
        <v>2</v>
      </c>
      <c r="B7" s="63">
        <v>6</v>
      </c>
      <c r="C7" s="64" t="s">
        <v>680</v>
      </c>
      <c r="D7" s="65">
        <f>(187.32/B7)*TC!$C$3</f>
        <v>1114.391656</v>
      </c>
      <c r="E7" s="66">
        <f t="shared" ref="E7:E17" si="0">+D7*$B7</f>
        <v>6686.3499360000005</v>
      </c>
      <c r="F7" s="65" t="s">
        <v>36</v>
      </c>
      <c r="G7" s="66" t="s">
        <v>36</v>
      </c>
      <c r="H7" s="65" t="s">
        <v>36</v>
      </c>
      <c r="I7" s="66" t="s">
        <v>36</v>
      </c>
      <c r="J7" s="65" t="s">
        <v>36</v>
      </c>
      <c r="K7" s="66" t="s">
        <v>36</v>
      </c>
      <c r="L7" s="68"/>
    </row>
    <row r="8" spans="1:12" s="69" customFormat="1" x14ac:dyDescent="0.25">
      <c r="A8" s="62">
        <v>3</v>
      </c>
      <c r="B8" s="63">
        <v>6</v>
      </c>
      <c r="C8" s="64" t="s">
        <v>681</v>
      </c>
      <c r="D8" s="65">
        <f>(753.92/16)*TC!$C$3</f>
        <v>1681.9389759999999</v>
      </c>
      <c r="E8" s="66">
        <f t="shared" si="0"/>
        <v>10091.633856</v>
      </c>
      <c r="F8" s="65" t="s">
        <v>36</v>
      </c>
      <c r="G8" s="66" t="s">
        <v>36</v>
      </c>
      <c r="H8" s="65" t="s">
        <v>36</v>
      </c>
      <c r="I8" s="66" t="s">
        <v>36</v>
      </c>
      <c r="J8" s="65">
        <f>5183.86/B8</f>
        <v>863.97666666666657</v>
      </c>
      <c r="K8" s="66">
        <f t="shared" ref="K8:K15" si="1">+J8*$B8</f>
        <v>5183.8599999999997</v>
      </c>
      <c r="L8" s="68"/>
    </row>
    <row r="9" spans="1:12" s="69" customFormat="1" ht="30" x14ac:dyDescent="0.25">
      <c r="A9" s="62">
        <v>4</v>
      </c>
      <c r="B9" s="63">
        <v>6</v>
      </c>
      <c r="C9" s="64" t="s">
        <v>682</v>
      </c>
      <c r="D9" s="65">
        <f>(348.42/B9)*TC!$C$3</f>
        <v>2072.7970359999999</v>
      </c>
      <c r="E9" s="66">
        <f t="shared" si="0"/>
        <v>12436.782216</v>
      </c>
      <c r="F9" s="65" t="s">
        <v>36</v>
      </c>
      <c r="G9" s="66" t="s">
        <v>36</v>
      </c>
      <c r="H9" s="65" t="s">
        <v>36</v>
      </c>
      <c r="I9" s="66" t="s">
        <v>36</v>
      </c>
      <c r="J9" s="65" t="s">
        <v>36</v>
      </c>
      <c r="K9" s="66" t="s">
        <v>36</v>
      </c>
      <c r="L9" s="68"/>
    </row>
    <row r="10" spans="1:12" s="69" customFormat="1" ht="30" x14ac:dyDescent="0.25">
      <c r="A10" s="62">
        <v>5</v>
      </c>
      <c r="B10" s="63">
        <v>6</v>
      </c>
      <c r="C10" s="64" t="s">
        <v>683</v>
      </c>
      <c r="D10" s="65">
        <f>(158.16/B10)*TC!$C$3</f>
        <v>940.91492800000003</v>
      </c>
      <c r="E10" s="66">
        <f t="shared" si="0"/>
        <v>5645.489568</v>
      </c>
      <c r="F10" s="65" t="s">
        <v>36</v>
      </c>
      <c r="G10" s="66" t="s">
        <v>36</v>
      </c>
      <c r="H10" s="65" t="s">
        <v>36</v>
      </c>
      <c r="I10" s="66" t="s">
        <v>36</v>
      </c>
      <c r="J10" s="65" t="s">
        <v>36</v>
      </c>
      <c r="K10" s="66" t="s">
        <v>36</v>
      </c>
      <c r="L10" s="68"/>
    </row>
    <row r="11" spans="1:12" s="69" customFormat="1" x14ac:dyDescent="0.25">
      <c r="A11" s="62">
        <v>6</v>
      </c>
      <c r="B11" s="63">
        <v>10</v>
      </c>
      <c r="C11" s="64" t="s">
        <v>684</v>
      </c>
      <c r="D11" s="65">
        <f>(142.5/B11)*TC!$C$3</f>
        <v>508.65090000000004</v>
      </c>
      <c r="E11" s="66">
        <f t="shared" si="0"/>
        <v>5086.509</v>
      </c>
      <c r="F11" s="65">
        <f>717.36*0.75</f>
        <v>538.02</v>
      </c>
      <c r="G11" s="66">
        <f t="shared" ref="G11:G16" si="2">+F11*$B11</f>
        <v>5380.2</v>
      </c>
      <c r="H11" s="65" t="s">
        <v>36</v>
      </c>
      <c r="I11" s="66" t="s">
        <v>36</v>
      </c>
      <c r="J11" s="65">
        <f>2209.36/B11</f>
        <v>220.93600000000001</v>
      </c>
      <c r="K11" s="66">
        <f t="shared" si="1"/>
        <v>2209.36</v>
      </c>
      <c r="L11" s="68"/>
    </row>
    <row r="12" spans="1:12" s="69" customFormat="1" x14ac:dyDescent="0.25">
      <c r="A12" s="62">
        <v>7</v>
      </c>
      <c r="B12" s="63">
        <v>10</v>
      </c>
      <c r="C12" s="64" t="s">
        <v>681</v>
      </c>
      <c r="D12" s="65">
        <f>(753.92/16)*TC!$C$3</f>
        <v>1681.9389759999999</v>
      </c>
      <c r="E12" s="66">
        <f t="shared" si="0"/>
        <v>16819.389759999998</v>
      </c>
      <c r="F12" s="65">
        <f>2406.52*0.75</f>
        <v>1804.8899999999999</v>
      </c>
      <c r="G12" s="66">
        <f t="shared" si="2"/>
        <v>18048.899999999998</v>
      </c>
      <c r="H12" s="65" t="s">
        <v>36</v>
      </c>
      <c r="I12" s="66" t="s">
        <v>36</v>
      </c>
      <c r="J12" s="65">
        <f>8546.64/B12</f>
        <v>854.66399999999999</v>
      </c>
      <c r="K12" s="66">
        <f t="shared" si="1"/>
        <v>8546.64</v>
      </c>
      <c r="L12" s="68"/>
    </row>
    <row r="13" spans="1:12" s="69" customFormat="1" x14ac:dyDescent="0.25">
      <c r="A13" s="62">
        <v>8</v>
      </c>
      <c r="B13" s="192">
        <v>4</v>
      </c>
      <c r="C13" s="193" t="s">
        <v>684</v>
      </c>
      <c r="D13" s="65" t="s">
        <v>36</v>
      </c>
      <c r="E13" s="66" t="s">
        <v>36</v>
      </c>
      <c r="F13" s="71">
        <f>2792.92*0.75</f>
        <v>2094.69</v>
      </c>
      <c r="G13" s="66">
        <f t="shared" si="2"/>
        <v>8378.76</v>
      </c>
      <c r="H13" s="71">
        <v>290</v>
      </c>
      <c r="I13" s="66">
        <f t="shared" ref="I13:I17" si="3">+H13*$B13</f>
        <v>1160</v>
      </c>
      <c r="J13" s="71">
        <f>821.06/B13</f>
        <v>205.26499999999999</v>
      </c>
      <c r="K13" s="66">
        <f t="shared" si="1"/>
        <v>821.06</v>
      </c>
      <c r="L13" s="68"/>
    </row>
    <row r="14" spans="1:12" s="69" customFormat="1" x14ac:dyDescent="0.25">
      <c r="A14" s="62">
        <v>9</v>
      </c>
      <c r="B14" s="192">
        <v>4</v>
      </c>
      <c r="C14" s="193" t="s">
        <v>681</v>
      </c>
      <c r="D14" s="65" t="s">
        <v>36</v>
      </c>
      <c r="E14" s="66" t="s">
        <v>36</v>
      </c>
      <c r="F14" s="71">
        <f>2560.32*0.75</f>
        <v>1920.2400000000002</v>
      </c>
      <c r="G14" s="66">
        <f t="shared" si="2"/>
        <v>7680.9600000000009</v>
      </c>
      <c r="H14" s="71">
        <v>220</v>
      </c>
      <c r="I14" s="66">
        <f t="shared" si="3"/>
        <v>880</v>
      </c>
      <c r="J14" s="71">
        <f>1024/B14</f>
        <v>256</v>
      </c>
      <c r="K14" s="66">
        <f t="shared" si="1"/>
        <v>1024</v>
      </c>
      <c r="L14" s="68"/>
    </row>
    <row r="15" spans="1:12" s="69" customFormat="1" x14ac:dyDescent="0.25">
      <c r="A15" s="62">
        <v>10</v>
      </c>
      <c r="B15" s="379">
        <v>4</v>
      </c>
      <c r="C15" s="380" t="s">
        <v>685</v>
      </c>
      <c r="D15" s="65" t="s">
        <v>36</v>
      </c>
      <c r="E15" s="66" t="s">
        <v>36</v>
      </c>
      <c r="F15" s="939">
        <f>1339.08*0.75</f>
        <v>1004.31</v>
      </c>
      <c r="G15" s="66">
        <f t="shared" si="2"/>
        <v>4017.24</v>
      </c>
      <c r="H15" s="939">
        <v>380</v>
      </c>
      <c r="I15" s="66">
        <f t="shared" si="3"/>
        <v>1520</v>
      </c>
      <c r="J15" s="939">
        <f>951.01/B15</f>
        <v>237.7525</v>
      </c>
      <c r="K15" s="66">
        <f t="shared" si="1"/>
        <v>951.01</v>
      </c>
      <c r="L15" s="68"/>
    </row>
    <row r="16" spans="1:12" s="69" customFormat="1" x14ac:dyDescent="0.25">
      <c r="A16" s="62">
        <v>11</v>
      </c>
      <c r="B16" s="379">
        <v>1</v>
      </c>
      <c r="C16" s="380" t="s">
        <v>687</v>
      </c>
      <c r="D16" s="65">
        <f>(290.69+63.96+206.6+11.02)*TC!$C$3</f>
        <v>20427.063195999999</v>
      </c>
      <c r="E16" s="66">
        <f t="shared" si="0"/>
        <v>20427.063195999999</v>
      </c>
      <c r="F16" s="939">
        <v>14396.05</v>
      </c>
      <c r="G16" s="66">
        <f t="shared" si="2"/>
        <v>14396.05</v>
      </c>
      <c r="H16" s="939">
        <v>22000</v>
      </c>
      <c r="I16" s="66">
        <f t="shared" si="3"/>
        <v>22000</v>
      </c>
      <c r="J16" s="939" t="s">
        <v>36</v>
      </c>
      <c r="K16" s="66" t="s">
        <v>36</v>
      </c>
      <c r="L16" s="68"/>
    </row>
    <row r="17" spans="1:12" s="69" customFormat="1" ht="15.75" thickBot="1" x14ac:dyDescent="0.3">
      <c r="A17" s="62">
        <v>12</v>
      </c>
      <c r="B17" s="379">
        <v>4</v>
      </c>
      <c r="C17" s="380" t="s">
        <v>686</v>
      </c>
      <c r="D17" s="65">
        <f>121.68/B17</f>
        <v>30.42</v>
      </c>
      <c r="E17" s="66">
        <f t="shared" si="0"/>
        <v>121.68</v>
      </c>
      <c r="F17" s="940" t="s">
        <v>36</v>
      </c>
      <c r="G17" s="66" t="s">
        <v>36</v>
      </c>
      <c r="H17" s="940">
        <v>100</v>
      </c>
      <c r="I17" s="66">
        <f t="shared" si="3"/>
        <v>400</v>
      </c>
      <c r="J17" s="940" t="s">
        <v>36</v>
      </c>
      <c r="K17" s="66" t="s">
        <v>36</v>
      </c>
      <c r="L17" s="68"/>
    </row>
    <row r="18" spans="1:12" x14ac:dyDescent="0.25">
      <c r="A18" s="1132" t="s">
        <v>4</v>
      </c>
      <c r="B18" s="1133"/>
      <c r="C18" s="1134"/>
      <c r="D18" s="1117">
        <f>SUM(E6:E17)</f>
        <v>100516.517532</v>
      </c>
      <c r="E18" s="1118"/>
      <c r="F18" s="1117">
        <f>SUM(G6:G17)</f>
        <v>57902.11</v>
      </c>
      <c r="G18" s="1118"/>
      <c r="H18" s="1117">
        <f>SUM(I6:I17)</f>
        <v>25960</v>
      </c>
      <c r="I18" s="1135"/>
      <c r="J18" s="1117">
        <f>SUM(K6:K17)</f>
        <v>18735.929999999997</v>
      </c>
      <c r="K18" s="1135"/>
    </row>
    <row r="19" spans="1:12" x14ac:dyDescent="0.25">
      <c r="A19" s="1123" t="s">
        <v>5</v>
      </c>
      <c r="B19" s="1124"/>
      <c r="C19" s="1125"/>
      <c r="D19" s="1119">
        <v>0</v>
      </c>
      <c r="E19" s="1120"/>
      <c r="F19" s="1119">
        <v>0</v>
      </c>
      <c r="G19" s="1120"/>
      <c r="H19" s="1119">
        <v>0</v>
      </c>
      <c r="I19" s="1126"/>
      <c r="J19" s="1119">
        <v>0</v>
      </c>
      <c r="K19" s="1126"/>
    </row>
    <row r="20" spans="1:12" x14ac:dyDescent="0.25">
      <c r="A20" s="1123" t="s">
        <v>2</v>
      </c>
      <c r="B20" s="1124"/>
      <c r="C20" s="1125"/>
      <c r="D20" s="1119">
        <f>(D18-D19)*15%</f>
        <v>15077.4776298</v>
      </c>
      <c r="E20" s="1120"/>
      <c r="F20" s="1119">
        <f>(F18-F19)*15%</f>
        <v>8685.316499999999</v>
      </c>
      <c r="G20" s="1120"/>
      <c r="H20" s="1119">
        <v>0</v>
      </c>
      <c r="I20" s="1126"/>
      <c r="J20" s="1119">
        <f>+J18*0.15</f>
        <v>2810.3894999999993</v>
      </c>
      <c r="K20" s="1126"/>
    </row>
    <row r="21" spans="1:12" ht="15.75" thickBot="1" x14ac:dyDescent="0.3">
      <c r="A21" s="1109" t="s">
        <v>3</v>
      </c>
      <c r="B21" s="1110"/>
      <c r="C21" s="1111"/>
      <c r="D21" s="1112">
        <f>(D18-D19)+D20</f>
        <v>115593.99516180001</v>
      </c>
      <c r="E21" s="1113"/>
      <c r="F21" s="1112">
        <f>(F18-F19)+F20</f>
        <v>66587.426500000001</v>
      </c>
      <c r="G21" s="1113"/>
      <c r="H21" s="1112">
        <f>(H18-H19)+H20</f>
        <v>25960</v>
      </c>
      <c r="I21" s="1114"/>
      <c r="J21" s="1112">
        <f>(J18-J19)+J20</f>
        <v>21546.319499999998</v>
      </c>
      <c r="K21" s="1114"/>
    </row>
    <row r="23" spans="1:12" x14ac:dyDescent="0.25">
      <c r="E23" s="72"/>
      <c r="G23" s="72"/>
    </row>
  </sheetData>
  <mergeCells count="26">
    <mergeCell ref="A3:K3"/>
    <mergeCell ref="A4:A5"/>
    <mergeCell ref="D4:E4"/>
    <mergeCell ref="F4:G4"/>
    <mergeCell ref="H4:I4"/>
    <mergeCell ref="J4:K4"/>
    <mergeCell ref="A19:C19"/>
    <mergeCell ref="D19:E19"/>
    <mergeCell ref="F19:G19"/>
    <mergeCell ref="H19:I19"/>
    <mergeCell ref="J19:K19"/>
    <mergeCell ref="A18:C18"/>
    <mergeCell ref="D18:E18"/>
    <mergeCell ref="F18:G18"/>
    <mergeCell ref="H18:I18"/>
    <mergeCell ref="J18:K18"/>
    <mergeCell ref="A21:C21"/>
    <mergeCell ref="D21:E21"/>
    <mergeCell ref="F21:G21"/>
    <mergeCell ref="H21:I21"/>
    <mergeCell ref="J21:K21"/>
    <mergeCell ref="A20:C20"/>
    <mergeCell ref="D20:E20"/>
    <mergeCell ref="F20:G20"/>
    <mergeCell ref="H20:I20"/>
    <mergeCell ref="J20:K20"/>
  </mergeCells>
  <conditionalFormatting sqref="E6:E17 G6:G17 I6:I17 K6:K17">
    <cfRule type="expression" dxfId="95" priority="1">
      <formula>D6=""</formula>
    </cfRule>
  </conditionalFormatting>
  <conditionalFormatting sqref="E6:E17 G6:G17 I6:I17 K6:K17">
    <cfRule type="expression" dxfId="94" priority="2">
      <formula>D6=MIN($D6,$F6,$H6,$J6)</formula>
    </cfRule>
  </conditionalFormatting>
  <pageMargins left="0.25" right="0.25" top="0.75" bottom="0.75" header="0.3" footer="0.3"/>
  <pageSetup orientation="landscape" r:id="rId1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2AB04-E722-421E-8F9B-ED515831696A}">
  <sheetPr codeName="Hoja125"/>
  <dimension ref="A1:H10"/>
  <sheetViews>
    <sheetView showGridLines="0" workbookViewId="0">
      <selection activeCell="C4" sqref="C4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16.7109375" style="108" bestFit="1" customWidth="1"/>
    <col min="4" max="4" width="11.140625" style="108" bestFit="1" customWidth="1"/>
    <col min="5" max="5" width="14" style="108" bestFit="1" customWidth="1"/>
    <col min="6" max="6" width="11.140625" style="108" bestFit="1" customWidth="1"/>
    <col min="7" max="7" width="14" style="108" bestFit="1" customWidth="1"/>
    <col min="8" max="8" width="13.42578125" style="109" bestFit="1" customWidth="1"/>
    <col min="9" max="9" width="13.42578125" style="108" bestFit="1" customWidth="1"/>
    <col min="10" max="16384" width="11.42578125" style="108"/>
  </cols>
  <sheetData>
    <row r="1" spans="1:8" s="34" customFormat="1" ht="16.5" thickBot="1" x14ac:dyDescent="0.3">
      <c r="A1" s="1178" t="s">
        <v>1</v>
      </c>
      <c r="B1" s="1179"/>
      <c r="C1" s="1179"/>
      <c r="D1" s="1180"/>
      <c r="E1" s="1180"/>
      <c r="F1" s="1180"/>
      <c r="G1" s="1181"/>
      <c r="H1" s="35"/>
    </row>
    <row r="2" spans="1:8" s="34" customFormat="1" ht="16.5" thickBot="1" x14ac:dyDescent="0.3">
      <c r="A2" s="1182" t="s">
        <v>6</v>
      </c>
      <c r="B2" s="110" t="s">
        <v>17</v>
      </c>
      <c r="C2" s="111" t="s">
        <v>688</v>
      </c>
      <c r="D2" s="1100" t="s">
        <v>272</v>
      </c>
      <c r="E2" s="1102"/>
      <c r="F2" s="1100" t="s">
        <v>450</v>
      </c>
      <c r="G2" s="1102"/>
      <c r="H2" s="35"/>
    </row>
    <row r="3" spans="1:8" s="34" customFormat="1" ht="16.5" thickBot="1" x14ac:dyDescent="0.3">
      <c r="A3" s="1183"/>
      <c r="B3" s="112" t="s">
        <v>11</v>
      </c>
      <c r="C3" s="113" t="s">
        <v>0</v>
      </c>
      <c r="D3" s="114" t="s">
        <v>14</v>
      </c>
      <c r="E3" s="917" t="s">
        <v>10</v>
      </c>
      <c r="F3" s="114" t="s">
        <v>14</v>
      </c>
      <c r="G3" s="918" t="s">
        <v>10</v>
      </c>
      <c r="H3" s="35"/>
    </row>
    <row r="4" spans="1:8" s="124" customFormat="1" ht="16.5" thickBot="1" x14ac:dyDescent="0.3">
      <c r="A4" s="125">
        <v>1</v>
      </c>
      <c r="B4" s="126">
        <v>100</v>
      </c>
      <c r="C4" s="127" t="s">
        <v>270</v>
      </c>
      <c r="D4" s="128">
        <v>450</v>
      </c>
      <c r="E4" s="398">
        <f t="shared" ref="E4" si="0">+D4*$B4</f>
        <v>45000</v>
      </c>
      <c r="F4" s="128">
        <v>480.66</v>
      </c>
      <c r="G4" s="122">
        <f t="shared" ref="G4" si="1">+F4*$B4</f>
        <v>48066</v>
      </c>
      <c r="H4" s="123"/>
    </row>
    <row r="5" spans="1:8" x14ac:dyDescent="0.25">
      <c r="A5" s="1094" t="s">
        <v>4</v>
      </c>
      <c r="B5" s="1095"/>
      <c r="C5" s="1185"/>
      <c r="D5" s="1186">
        <f>SUM(E4:E4)</f>
        <v>45000</v>
      </c>
      <c r="E5" s="1187"/>
      <c r="F5" s="1186">
        <f>SUM(G4:G4)</f>
        <v>48066</v>
      </c>
      <c r="G5" s="1188"/>
    </row>
    <row r="6" spans="1:8" x14ac:dyDescent="0.25">
      <c r="A6" s="1096" t="s">
        <v>5</v>
      </c>
      <c r="B6" s="1097"/>
      <c r="C6" s="1195"/>
      <c r="D6" s="1176">
        <v>0</v>
      </c>
      <c r="E6" s="1196"/>
      <c r="F6" s="1176">
        <v>0</v>
      </c>
      <c r="G6" s="1177"/>
    </row>
    <row r="7" spans="1:8" x14ac:dyDescent="0.25">
      <c r="A7" s="1199" t="s">
        <v>2</v>
      </c>
      <c r="B7" s="1200"/>
      <c r="C7" s="1201"/>
      <c r="D7" s="1176">
        <f>(D5-D6)*15%</f>
        <v>6750</v>
      </c>
      <c r="E7" s="1196"/>
      <c r="F7" s="1176">
        <v>0</v>
      </c>
      <c r="G7" s="1177"/>
    </row>
    <row r="8" spans="1:8" ht="16.5" thickBot="1" x14ac:dyDescent="0.3">
      <c r="A8" s="1189" t="s">
        <v>3</v>
      </c>
      <c r="B8" s="1190"/>
      <c r="C8" s="1191"/>
      <c r="D8" s="1192">
        <f>(D5-D6)+D7</f>
        <v>51750</v>
      </c>
      <c r="E8" s="1193"/>
      <c r="F8" s="1192">
        <f>(F5-F6)+F7</f>
        <v>48066</v>
      </c>
      <c r="G8" s="1194"/>
    </row>
    <row r="10" spans="1:8" x14ac:dyDescent="0.25">
      <c r="D10" s="129"/>
      <c r="E10" s="129"/>
      <c r="G10" s="129"/>
    </row>
  </sheetData>
  <mergeCells count="16">
    <mergeCell ref="A8:C8"/>
    <mergeCell ref="D8:E8"/>
    <mergeCell ref="F8:G8"/>
    <mergeCell ref="A6:C6"/>
    <mergeCell ref="D6:E6"/>
    <mergeCell ref="F6:G6"/>
    <mergeCell ref="A7:C7"/>
    <mergeCell ref="D7:E7"/>
    <mergeCell ref="F7:G7"/>
    <mergeCell ref="A1:G1"/>
    <mergeCell ref="A2:A3"/>
    <mergeCell ref="D2:E2"/>
    <mergeCell ref="F2:G2"/>
    <mergeCell ref="A5:C5"/>
    <mergeCell ref="D5:E5"/>
    <mergeCell ref="F5:G5"/>
  </mergeCells>
  <conditionalFormatting sqref="E4 G4">
    <cfRule type="expression" dxfId="93" priority="349">
      <formula>D4=""</formula>
    </cfRule>
    <cfRule type="expression" dxfId="92" priority="350">
      <formula>D4=MIN(#REF!,$D4,$F4)</formula>
    </cfRule>
  </conditionalFormatting>
  <pageMargins left="0.25" right="0.25" top="0.75" bottom="0.75" header="0.3" footer="0.3"/>
  <pageSetup orientation="portrait" r:id="rId1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A92AB-33BD-4D0E-B20F-EA425AC14F28}">
  <sheetPr codeName="Hoja126"/>
  <dimension ref="B2:K16"/>
  <sheetViews>
    <sheetView showGridLines="0" workbookViewId="0">
      <selection activeCell="I4" sqref="I4:J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2.28515625" style="1" bestFit="1" customWidth="1"/>
    <col min="6" max="6" width="15.42578125" style="1" bestFit="1" customWidth="1"/>
    <col min="7" max="7" width="12.28515625" style="1" bestFit="1" customWidth="1"/>
    <col min="8" max="8" width="14.140625" style="1" bestFit="1" customWidth="1"/>
    <col min="9" max="9" width="12.28515625" style="1" bestFit="1" customWidth="1"/>
    <col min="10" max="10" width="14.1406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689</v>
      </c>
      <c r="E4" s="1252" t="s">
        <v>272</v>
      </c>
      <c r="F4" s="1251"/>
      <c r="G4" s="1248" t="s">
        <v>690</v>
      </c>
      <c r="H4" s="1251"/>
      <c r="I4" s="1248" t="s">
        <v>691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941" t="s">
        <v>10</v>
      </c>
      <c r="G5" s="31" t="s">
        <v>14</v>
      </c>
      <c r="H5" s="941" t="s">
        <v>10</v>
      </c>
      <c r="I5" s="31" t="s">
        <v>14</v>
      </c>
      <c r="J5" s="32" t="s">
        <v>10</v>
      </c>
      <c r="K5" s="6"/>
    </row>
    <row r="6" spans="2:11" s="3" customFormat="1" ht="18" thickBot="1" x14ac:dyDescent="0.35">
      <c r="B6" s="19">
        <v>1</v>
      </c>
      <c r="C6" s="16">
        <v>100</v>
      </c>
      <c r="D6" s="9" t="s">
        <v>395</v>
      </c>
      <c r="E6" s="24">
        <v>120</v>
      </c>
      <c r="F6" s="23">
        <f>+E6*$C6</f>
        <v>12000</v>
      </c>
      <c r="G6" s="24">
        <v>80</v>
      </c>
      <c r="H6" s="23">
        <f>+G6*$C6</f>
        <v>8000</v>
      </c>
      <c r="I6" s="24">
        <v>64</v>
      </c>
      <c r="J6" s="27">
        <f>+I6*$C6</f>
        <v>6400</v>
      </c>
      <c r="K6" s="7"/>
    </row>
    <row r="7" spans="2:11" s="3" customFormat="1" hidden="1" x14ac:dyDescent="0.3">
      <c r="B7" s="20">
        <v>2</v>
      </c>
      <c r="C7" s="17"/>
      <c r="D7" s="8"/>
      <c r="E7" s="25"/>
      <c r="F7" s="23">
        <f t="shared" ref="F7:F9" si="0">+E7*$C7</f>
        <v>0</v>
      </c>
      <c r="G7" s="25"/>
      <c r="H7" s="23">
        <f t="shared" ref="H7:H10" si="1">+G7*$C7</f>
        <v>0</v>
      </c>
      <c r="I7" s="25"/>
      <c r="J7" s="27">
        <f t="shared" ref="J7:J10" si="2">+I7*$C7</f>
        <v>0</v>
      </c>
      <c r="K7" s="7"/>
    </row>
    <row r="8" spans="2:11" s="3" customFormat="1" hidden="1" x14ac:dyDescent="0.3">
      <c r="B8" s="20">
        <v>3</v>
      </c>
      <c r="C8" s="17"/>
      <c r="D8" s="8"/>
      <c r="E8" s="25"/>
      <c r="F8" s="23">
        <f t="shared" si="0"/>
        <v>0</v>
      </c>
      <c r="G8" s="25"/>
      <c r="H8" s="23">
        <f t="shared" si="1"/>
        <v>0</v>
      </c>
      <c r="I8" s="25"/>
      <c r="J8" s="27">
        <f t="shared" si="2"/>
        <v>0</v>
      </c>
      <c r="K8" s="7"/>
    </row>
    <row r="9" spans="2:11" s="3" customFormat="1" hidden="1" x14ac:dyDescent="0.3">
      <c r="B9" s="20">
        <v>4</v>
      </c>
      <c r="C9" s="17"/>
      <c r="D9" s="8"/>
      <c r="E9" s="25"/>
      <c r="F9" s="23">
        <f t="shared" si="0"/>
        <v>0</v>
      </c>
      <c r="G9" s="25"/>
      <c r="H9" s="23">
        <f t="shared" si="1"/>
        <v>0</v>
      </c>
      <c r="I9" s="25"/>
      <c r="J9" s="27">
        <f t="shared" si="2"/>
        <v>0</v>
      </c>
      <c r="K9" s="7"/>
    </row>
    <row r="10" spans="2:11" s="3" customFormat="1" ht="18" hidden="1" thickBot="1" x14ac:dyDescent="0.35">
      <c r="B10" s="22">
        <v>5</v>
      </c>
      <c r="C10" s="18"/>
      <c r="D10" s="10"/>
      <c r="E10" s="26"/>
      <c r="F10" s="23">
        <f>+E10*$C10</f>
        <v>0</v>
      </c>
      <c r="G10" s="26"/>
      <c r="H10" s="23">
        <f t="shared" si="1"/>
        <v>0</v>
      </c>
      <c r="I10" s="26"/>
      <c r="J10" s="27">
        <f t="shared" si="2"/>
        <v>0</v>
      </c>
      <c r="K10" s="7"/>
    </row>
    <row r="11" spans="2:11" x14ac:dyDescent="0.3">
      <c r="B11" s="1217" t="s">
        <v>4</v>
      </c>
      <c r="C11" s="1218"/>
      <c r="D11" s="1219"/>
      <c r="E11" s="1245">
        <f>SUM(F6:F10)</f>
        <v>12000</v>
      </c>
      <c r="F11" s="1246"/>
      <c r="G11" s="1245">
        <f>SUM(H6:H10)</f>
        <v>8000</v>
      </c>
      <c r="H11" s="1246"/>
      <c r="I11" s="1245">
        <f>SUM(J6:J10)</f>
        <v>6400</v>
      </c>
      <c r="J11" s="1247"/>
    </row>
    <row r="12" spans="2:11" x14ac:dyDescent="0.3">
      <c r="B12" s="1205" t="s">
        <v>5</v>
      </c>
      <c r="C12" s="1206"/>
      <c r="D12" s="1207"/>
      <c r="E12" s="1242">
        <v>0</v>
      </c>
      <c r="F12" s="1243"/>
      <c r="G12" s="1242">
        <v>0</v>
      </c>
      <c r="H12" s="1243"/>
      <c r="I12" s="1242">
        <v>0</v>
      </c>
      <c r="J12" s="1244"/>
    </row>
    <row r="13" spans="2:11" x14ac:dyDescent="0.3">
      <c r="B13" s="1208" t="s">
        <v>2</v>
      </c>
      <c r="C13" s="1209"/>
      <c r="D13" s="1210"/>
      <c r="E13" s="1242">
        <f>(E11-E12)*15%</f>
        <v>1800</v>
      </c>
      <c r="F13" s="1243"/>
      <c r="G13" s="1242">
        <v>0</v>
      </c>
      <c r="H13" s="1243"/>
      <c r="I13" s="1242">
        <f>(I11-I12)*15%</f>
        <v>960</v>
      </c>
      <c r="J13" s="1244"/>
    </row>
    <row r="14" spans="2:11" ht="18" thickBot="1" x14ac:dyDescent="0.35">
      <c r="B14" s="1202" t="s">
        <v>3</v>
      </c>
      <c r="C14" s="1203"/>
      <c r="D14" s="1204"/>
      <c r="E14" s="1253">
        <f>(E11-E12)+E13</f>
        <v>13800</v>
      </c>
      <c r="F14" s="1254"/>
      <c r="G14" s="1253">
        <f>(G11-G12)+G13</f>
        <v>8000</v>
      </c>
      <c r="H14" s="1254"/>
      <c r="I14" s="1253">
        <f>(I11-I12)+I13</f>
        <v>7360</v>
      </c>
      <c r="J14" s="1255"/>
    </row>
    <row r="16" spans="2:11" x14ac:dyDescent="0.3">
      <c r="E16" s="1" t="s">
        <v>256</v>
      </c>
      <c r="F16" s="4"/>
      <c r="G16" s="942" t="s">
        <v>692</v>
      </c>
      <c r="H16" s="4"/>
      <c r="J16" s="225"/>
    </row>
  </sheetData>
  <mergeCells count="21">
    <mergeCell ref="B11:D11"/>
    <mergeCell ref="E11:F11"/>
    <mergeCell ref="G11:H11"/>
    <mergeCell ref="I11:J11"/>
    <mergeCell ref="B3:J3"/>
    <mergeCell ref="B4:B5"/>
    <mergeCell ref="E4:F4"/>
    <mergeCell ref="G4:H4"/>
    <mergeCell ref="I4:J4"/>
    <mergeCell ref="B14:D14"/>
    <mergeCell ref="E14:F14"/>
    <mergeCell ref="G14:H14"/>
    <mergeCell ref="I14:J14"/>
    <mergeCell ref="B12:D12"/>
    <mergeCell ref="E12:F12"/>
    <mergeCell ref="G12:H12"/>
    <mergeCell ref="I12:J12"/>
    <mergeCell ref="B13:D13"/>
    <mergeCell ref="E13:F13"/>
    <mergeCell ref="G13:H13"/>
    <mergeCell ref="I13:J13"/>
  </mergeCells>
  <conditionalFormatting sqref="F6:F10">
    <cfRule type="expression" dxfId="91" priority="5">
      <formula>E6=""</formula>
    </cfRule>
    <cfRule type="expression" dxfId="90" priority="6">
      <formula>E6=MIN($E6,$G6,$I6)</formula>
    </cfRule>
  </conditionalFormatting>
  <conditionalFormatting sqref="H6:H10">
    <cfRule type="expression" dxfId="89" priority="3">
      <formula>G6=""</formula>
    </cfRule>
    <cfRule type="expression" dxfId="88" priority="4">
      <formula>G6=MIN($E6,$G6,$I6)</formula>
    </cfRule>
  </conditionalFormatting>
  <conditionalFormatting sqref="J6:J10">
    <cfRule type="expression" dxfId="87" priority="1">
      <formula>I6=""</formula>
    </cfRule>
    <cfRule type="expression" dxfId="86" priority="2">
      <formula>I6=MIN($E6,$G6,$I6)</formula>
    </cfRule>
  </conditionalFormatting>
  <pageMargins left="0.25" right="0.25" top="0.75" bottom="0.75" header="0.3" footer="0.3"/>
  <pageSetup orientation="landscape" r:id="rId1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362E68-A481-482C-ABD2-089FAAAD16B1}">
  <sheetPr codeName="Hoja127"/>
  <dimension ref="B1:L14"/>
  <sheetViews>
    <sheetView showGridLines="0" workbookViewId="0">
      <selection activeCell="D4" sqref="D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1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4.140625" style="1" bestFit="1" customWidth="1"/>
    <col min="10" max="10" width="15.42578125" style="1" bestFit="1" customWidth="1"/>
    <col min="11" max="11" width="13.42578125" style="5" bestFit="1" customWidth="1"/>
    <col min="12" max="12" width="15.42578125" style="1" bestFit="1" customWidth="1"/>
    <col min="13" max="16384" width="11.42578125" style="1"/>
  </cols>
  <sheetData>
    <row r="1" spans="2:12" s="2" customFormat="1" ht="18" thickBot="1" x14ac:dyDescent="0.35">
      <c r="B1" s="1211" t="s">
        <v>1</v>
      </c>
      <c r="C1" s="1212"/>
      <c r="D1" s="1212"/>
      <c r="E1" s="1213"/>
      <c r="F1" s="1213"/>
      <c r="G1" s="1213"/>
      <c r="H1" s="1213"/>
      <c r="I1" s="1213"/>
      <c r="J1" s="1214"/>
      <c r="K1" s="6"/>
    </row>
    <row r="2" spans="2:12" s="2" customFormat="1" ht="18" thickBot="1" x14ac:dyDescent="0.3">
      <c r="B2" s="1215" t="s">
        <v>6</v>
      </c>
      <c r="C2" s="29" t="s">
        <v>17</v>
      </c>
      <c r="D2" s="30" t="s">
        <v>693</v>
      </c>
      <c r="E2" s="1252" t="s">
        <v>55</v>
      </c>
      <c r="F2" s="1251"/>
      <c r="G2" s="1248" t="s">
        <v>53</v>
      </c>
      <c r="H2" s="1251"/>
      <c r="I2" s="1248" t="s">
        <v>56</v>
      </c>
      <c r="J2" s="1251"/>
      <c r="K2" s="6"/>
    </row>
    <row r="3" spans="2:12" s="2" customFormat="1" ht="18" thickBot="1" x14ac:dyDescent="0.3">
      <c r="B3" s="1216"/>
      <c r="C3" s="33" t="s">
        <v>11</v>
      </c>
      <c r="D3" s="21" t="s">
        <v>0</v>
      </c>
      <c r="E3" s="31" t="s">
        <v>14</v>
      </c>
      <c r="F3" s="941" t="s">
        <v>10</v>
      </c>
      <c r="G3" s="31" t="s">
        <v>14</v>
      </c>
      <c r="H3" s="941" t="s">
        <v>10</v>
      </c>
      <c r="I3" s="31" t="s">
        <v>14</v>
      </c>
      <c r="J3" s="32" t="s">
        <v>10</v>
      </c>
      <c r="K3" s="6"/>
    </row>
    <row r="4" spans="2:12" s="3" customFormat="1" ht="18" thickBot="1" x14ac:dyDescent="0.35">
      <c r="B4" s="19">
        <v>1</v>
      </c>
      <c r="C4" s="16">
        <v>6</v>
      </c>
      <c r="D4" s="9" t="s">
        <v>694</v>
      </c>
      <c r="E4" s="24">
        <f>(8+10.28+106.93)*36.15</f>
        <v>4526.3415000000005</v>
      </c>
      <c r="F4" s="23">
        <f>+E4*$C4</f>
        <v>27158.049000000003</v>
      </c>
      <c r="G4" s="24">
        <f>(667.74/C4)*35.16</f>
        <v>3912.9564</v>
      </c>
      <c r="H4" s="23">
        <f>+G4*$C4</f>
        <v>23477.738400000002</v>
      </c>
      <c r="I4" s="24">
        <f>267.8+319.423+2631.21</f>
        <v>3218.433</v>
      </c>
      <c r="J4" s="27">
        <f>+I4*$C4</f>
        <v>19310.597999999998</v>
      </c>
      <c r="K4" s="7"/>
    </row>
    <row r="5" spans="2:12" s="3" customFormat="1" ht="18" hidden="1" thickBot="1" x14ac:dyDescent="0.35">
      <c r="B5" s="20">
        <v>2</v>
      </c>
      <c r="C5" s="17"/>
      <c r="D5" s="8"/>
      <c r="E5" s="25"/>
      <c r="F5" s="23">
        <f t="shared" ref="F5:F7" si="0">+E5*$C5</f>
        <v>0</v>
      </c>
      <c r="G5" s="25"/>
      <c r="H5" s="23">
        <f t="shared" ref="H5:H8" si="1">+G5*$C5</f>
        <v>0</v>
      </c>
      <c r="I5" s="25"/>
      <c r="J5" s="27">
        <f t="shared" ref="J5:J8" si="2">+I5*$C5</f>
        <v>0</v>
      </c>
      <c r="K5" s="7"/>
    </row>
    <row r="6" spans="2:12" s="3" customFormat="1" ht="18" hidden="1" thickBot="1" x14ac:dyDescent="0.35">
      <c r="B6" s="20">
        <v>3</v>
      </c>
      <c r="C6" s="17"/>
      <c r="D6" s="8"/>
      <c r="E6" s="25"/>
      <c r="F6" s="23">
        <f t="shared" si="0"/>
        <v>0</v>
      </c>
      <c r="G6" s="25"/>
      <c r="H6" s="23">
        <f t="shared" si="1"/>
        <v>0</v>
      </c>
      <c r="I6" s="25"/>
      <c r="J6" s="27">
        <f t="shared" si="2"/>
        <v>0</v>
      </c>
      <c r="K6" s="7"/>
    </row>
    <row r="7" spans="2:12" s="3" customFormat="1" ht="18" hidden="1" thickBot="1" x14ac:dyDescent="0.35">
      <c r="B7" s="20">
        <v>4</v>
      </c>
      <c r="C7" s="17"/>
      <c r="D7" s="8"/>
      <c r="E7" s="25"/>
      <c r="F7" s="23">
        <f t="shared" si="0"/>
        <v>0</v>
      </c>
      <c r="G7" s="25"/>
      <c r="H7" s="23">
        <f t="shared" si="1"/>
        <v>0</v>
      </c>
      <c r="I7" s="25"/>
      <c r="J7" s="27">
        <f t="shared" si="2"/>
        <v>0</v>
      </c>
      <c r="K7" s="7"/>
    </row>
    <row r="8" spans="2:12" s="3" customFormat="1" ht="18" hidden="1" thickBot="1" x14ac:dyDescent="0.35">
      <c r="B8" s="22">
        <v>5</v>
      </c>
      <c r="C8" s="18"/>
      <c r="D8" s="10"/>
      <c r="E8" s="26"/>
      <c r="F8" s="23">
        <f>+E8*$C8</f>
        <v>0</v>
      </c>
      <c r="G8" s="26"/>
      <c r="H8" s="23">
        <f t="shared" si="1"/>
        <v>0</v>
      </c>
      <c r="I8" s="26"/>
      <c r="J8" s="27">
        <f t="shared" si="2"/>
        <v>0</v>
      </c>
      <c r="K8" s="7"/>
    </row>
    <row r="9" spans="2:12" x14ac:dyDescent="0.3">
      <c r="B9" s="1217" t="s">
        <v>4</v>
      </c>
      <c r="C9" s="1218"/>
      <c r="D9" s="1219"/>
      <c r="E9" s="1245">
        <f>SUM(F4:F8)</f>
        <v>27158.049000000003</v>
      </c>
      <c r="F9" s="1246"/>
      <c r="G9" s="1245">
        <f>SUM(H4:H8)</f>
        <v>23477.738400000002</v>
      </c>
      <c r="H9" s="1246"/>
      <c r="I9" s="1245">
        <f>SUM(J4:J8)</f>
        <v>19310.597999999998</v>
      </c>
      <c r="J9" s="1247"/>
      <c r="L9" s="564"/>
    </row>
    <row r="10" spans="2:12" x14ac:dyDescent="0.3">
      <c r="B10" s="1205" t="s">
        <v>5</v>
      </c>
      <c r="C10" s="1206"/>
      <c r="D10" s="1207"/>
      <c r="E10" s="1242">
        <v>0</v>
      </c>
      <c r="F10" s="1243"/>
      <c r="G10" s="1242">
        <v>0</v>
      </c>
      <c r="H10" s="1243"/>
      <c r="I10" s="1242">
        <v>0</v>
      </c>
      <c r="J10" s="1244"/>
    </row>
    <row r="11" spans="2:12" x14ac:dyDescent="0.3">
      <c r="B11" s="1208" t="s">
        <v>2</v>
      </c>
      <c r="C11" s="1209"/>
      <c r="D11" s="1210"/>
      <c r="E11" s="1242">
        <f>(E9-E10)*15%</f>
        <v>4073.7073500000001</v>
      </c>
      <c r="F11" s="1243"/>
      <c r="G11" s="1242">
        <f>+G9*0.15</f>
        <v>3521.6607600000002</v>
      </c>
      <c r="H11" s="1243"/>
      <c r="I11" s="1242">
        <f>(I9-I10)*15%</f>
        <v>2896.5896999999995</v>
      </c>
      <c r="J11" s="1244"/>
    </row>
    <row r="12" spans="2:12" ht="18" thickBot="1" x14ac:dyDescent="0.35">
      <c r="B12" s="1202" t="s">
        <v>3</v>
      </c>
      <c r="C12" s="1203"/>
      <c r="D12" s="1204"/>
      <c r="E12" s="1253">
        <f>(E9-E10)+E11</f>
        <v>31231.756350000003</v>
      </c>
      <c r="F12" s="1254"/>
      <c r="G12" s="1253">
        <f>(G9-G10)+G11</f>
        <v>26999.399160000001</v>
      </c>
      <c r="H12" s="1254"/>
      <c r="I12" s="1253">
        <f>(I9-I10)+I11</f>
        <v>22207.187699999999</v>
      </c>
      <c r="J12" s="1255"/>
    </row>
    <row r="14" spans="2:12" x14ac:dyDescent="0.3">
      <c r="F14" s="4"/>
      <c r="G14" s="942"/>
      <c r="H14" s="4"/>
      <c r="J14" s="225"/>
    </row>
  </sheetData>
  <mergeCells count="21">
    <mergeCell ref="B9:D9"/>
    <mergeCell ref="E9:F9"/>
    <mergeCell ref="G9:H9"/>
    <mergeCell ref="I9:J9"/>
    <mergeCell ref="B1:J1"/>
    <mergeCell ref="B2:B3"/>
    <mergeCell ref="E2:F2"/>
    <mergeCell ref="G2:H2"/>
    <mergeCell ref="I2:J2"/>
    <mergeCell ref="B12:D12"/>
    <mergeCell ref="E12:F12"/>
    <mergeCell ref="G12:H12"/>
    <mergeCell ref="I12:J12"/>
    <mergeCell ref="B10:D10"/>
    <mergeCell ref="E10:F10"/>
    <mergeCell ref="G10:H10"/>
    <mergeCell ref="I10:J10"/>
    <mergeCell ref="B11:D11"/>
    <mergeCell ref="E11:F11"/>
    <mergeCell ref="G11:H11"/>
    <mergeCell ref="I11:J11"/>
  </mergeCells>
  <conditionalFormatting sqref="F4:F8">
    <cfRule type="expression" dxfId="85" priority="5">
      <formula>E4=""</formula>
    </cfRule>
    <cfRule type="expression" dxfId="84" priority="6">
      <formula>E4=MIN($E4,$G4,$I4)</formula>
    </cfRule>
  </conditionalFormatting>
  <conditionalFormatting sqref="H4:H8">
    <cfRule type="expression" dxfId="83" priority="3">
      <formula>G4=""</formula>
    </cfRule>
    <cfRule type="expression" dxfId="82" priority="4">
      <formula>G4=MIN($E4,$G4,$I4)</formula>
    </cfRule>
  </conditionalFormatting>
  <conditionalFormatting sqref="J4:J8">
    <cfRule type="expression" dxfId="81" priority="1">
      <formula>I4=""</formula>
    </cfRule>
    <cfRule type="expression" dxfId="80" priority="2">
      <formula>I4=MIN($E4,$G4,$I4)</formula>
    </cfRule>
  </conditionalFormatting>
  <pageMargins left="0.25" right="0.25" top="0.75" bottom="0.75" header="0.3" footer="0.3"/>
  <pageSetup orientation="landscape" r:id="rId1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A872E-3A6A-4E70-BD0E-1E746E167D74}">
  <sheetPr codeName="Hoja128"/>
  <dimension ref="A1:O37"/>
  <sheetViews>
    <sheetView showGridLines="0" workbookViewId="0">
      <selection activeCell="C4" sqref="C4"/>
    </sheetView>
  </sheetViews>
  <sheetFormatPr baseColWidth="10" defaultRowHeight="12" x14ac:dyDescent="0.25"/>
  <cols>
    <col min="1" max="1" width="3.28515625" style="753" bestFit="1" customWidth="1"/>
    <col min="2" max="2" width="4.85546875" style="753" bestFit="1" customWidth="1"/>
    <col min="3" max="3" width="23.5703125" style="753" bestFit="1" customWidth="1"/>
    <col min="4" max="4" width="9.85546875" style="753" bestFit="1" customWidth="1"/>
    <col min="5" max="5" width="10.7109375" style="753" bestFit="1" customWidth="1"/>
    <col min="6" max="7" width="9.85546875" style="753" bestFit="1" customWidth="1"/>
    <col min="8" max="8" width="8.5703125" style="753" bestFit="1" customWidth="1"/>
    <col min="9" max="9" width="10.7109375" style="753" bestFit="1" customWidth="1"/>
    <col min="10" max="10" width="9.85546875" style="753" bestFit="1" customWidth="1"/>
    <col min="11" max="11" width="10.7109375" style="753" bestFit="1" customWidth="1"/>
    <col min="12" max="13" width="9.85546875" style="753" bestFit="1" customWidth="1"/>
    <col min="14" max="14" width="13.42578125" style="752" bestFit="1" customWidth="1"/>
    <col min="15" max="15" width="13.42578125" style="753" bestFit="1" customWidth="1"/>
    <col min="16" max="16384" width="11.42578125" style="753"/>
  </cols>
  <sheetData>
    <row r="1" spans="1:14" x14ac:dyDescent="0.25">
      <c r="A1" s="1522" t="s">
        <v>1</v>
      </c>
      <c r="B1" s="1523"/>
      <c r="C1" s="1523"/>
      <c r="D1" s="1523"/>
      <c r="E1" s="1523"/>
      <c r="F1" s="1523"/>
      <c r="G1" s="1523"/>
      <c r="H1" s="1523"/>
      <c r="I1" s="1523"/>
      <c r="J1" s="1523"/>
      <c r="K1" s="1523"/>
      <c r="L1" s="1523"/>
      <c r="M1" s="1524"/>
    </row>
    <row r="2" spans="1:14" x14ac:dyDescent="0.25">
      <c r="A2" s="1525" t="s">
        <v>6</v>
      </c>
      <c r="B2" s="754" t="s">
        <v>17</v>
      </c>
      <c r="C2" s="755" t="s">
        <v>695</v>
      </c>
      <c r="D2" s="1526" t="s">
        <v>178</v>
      </c>
      <c r="E2" s="1526"/>
      <c r="F2" s="1526" t="s">
        <v>523</v>
      </c>
      <c r="G2" s="1526"/>
      <c r="H2" s="1526" t="s">
        <v>179</v>
      </c>
      <c r="I2" s="1526"/>
      <c r="J2" s="1526" t="s">
        <v>180</v>
      </c>
      <c r="K2" s="1526"/>
      <c r="L2" s="1526" t="s">
        <v>144</v>
      </c>
      <c r="M2" s="1527"/>
    </row>
    <row r="3" spans="1:14" x14ac:dyDescent="0.25">
      <c r="A3" s="1525"/>
      <c r="B3" s="756" t="s">
        <v>11</v>
      </c>
      <c r="C3" s="948" t="s">
        <v>0</v>
      </c>
      <c r="D3" s="948" t="s">
        <v>14</v>
      </c>
      <c r="E3" s="948" t="s">
        <v>10</v>
      </c>
      <c r="F3" s="948" t="s">
        <v>14</v>
      </c>
      <c r="G3" s="948" t="s">
        <v>10</v>
      </c>
      <c r="H3" s="948" t="s">
        <v>14</v>
      </c>
      <c r="I3" s="948" t="s">
        <v>10</v>
      </c>
      <c r="J3" s="948" t="s">
        <v>14</v>
      </c>
      <c r="K3" s="948" t="s">
        <v>10</v>
      </c>
      <c r="L3" s="948" t="s">
        <v>14</v>
      </c>
      <c r="M3" s="949" t="s">
        <v>10</v>
      </c>
    </row>
    <row r="4" spans="1:14" s="765" customFormat="1" x14ac:dyDescent="0.25">
      <c r="A4" s="947">
        <v>1</v>
      </c>
      <c r="B4" s="760">
        <v>60</v>
      </c>
      <c r="C4" s="761" t="s">
        <v>203</v>
      </c>
      <c r="D4" s="762">
        <v>167.5</v>
      </c>
      <c r="E4" s="762">
        <f>+D4*B4</f>
        <v>10050</v>
      </c>
      <c r="F4" s="762">
        <v>150</v>
      </c>
      <c r="G4" s="762">
        <f>+F4*B4</f>
        <v>9000</v>
      </c>
      <c r="H4" s="762">
        <v>168</v>
      </c>
      <c r="I4" s="762">
        <f>+H4*$B4</f>
        <v>10080</v>
      </c>
      <c r="J4" s="762">
        <v>198.5</v>
      </c>
      <c r="K4" s="762">
        <f>+J4*$B4</f>
        <v>11910</v>
      </c>
      <c r="L4" s="762">
        <v>154.07</v>
      </c>
      <c r="M4" s="762">
        <f>+L4*$B4</f>
        <v>9244.1999999999989</v>
      </c>
      <c r="N4" s="764"/>
    </row>
    <row r="5" spans="1:14" s="765" customFormat="1" x14ac:dyDescent="0.25">
      <c r="A5" s="947">
        <v>2</v>
      </c>
      <c r="B5" s="760">
        <v>10</v>
      </c>
      <c r="C5" s="766" t="s">
        <v>148</v>
      </c>
      <c r="D5" s="762">
        <v>198.5</v>
      </c>
      <c r="E5" s="762">
        <f t="shared" ref="E5:E8" si="0">+D5*B5</f>
        <v>1985</v>
      </c>
      <c r="F5" s="762">
        <v>235</v>
      </c>
      <c r="G5" s="762">
        <f t="shared" ref="G5:G8" si="1">+F5*B5</f>
        <v>2350</v>
      </c>
      <c r="H5" s="762">
        <v>182</v>
      </c>
      <c r="I5" s="762">
        <f t="shared" ref="I5:I32" si="2">+H5*$B5</f>
        <v>1820</v>
      </c>
      <c r="J5" s="762" t="s">
        <v>36</v>
      </c>
      <c r="K5" s="762" t="s">
        <v>36</v>
      </c>
      <c r="L5" s="762">
        <v>198.61</v>
      </c>
      <c r="M5" s="762">
        <f t="shared" ref="M5:M32" si="3">+L5*$B5</f>
        <v>1986.1000000000001</v>
      </c>
      <c r="N5" s="764"/>
    </row>
    <row r="6" spans="1:14" s="765" customFormat="1" x14ac:dyDescent="0.25">
      <c r="A6" s="947">
        <v>3</v>
      </c>
      <c r="B6" s="760">
        <v>84</v>
      </c>
      <c r="C6" s="766" t="s">
        <v>149</v>
      </c>
      <c r="D6" s="762">
        <v>5.15</v>
      </c>
      <c r="E6" s="762">
        <f t="shared" si="0"/>
        <v>432.6</v>
      </c>
      <c r="F6" s="762">
        <v>4</v>
      </c>
      <c r="G6" s="762">
        <f t="shared" si="1"/>
        <v>336</v>
      </c>
      <c r="H6" s="762">
        <v>5</v>
      </c>
      <c r="I6" s="762">
        <f t="shared" si="2"/>
        <v>420</v>
      </c>
      <c r="J6" s="762">
        <v>3.75</v>
      </c>
      <c r="K6" s="762">
        <f t="shared" ref="K6:K11" si="4">+J6*$B6</f>
        <v>315</v>
      </c>
      <c r="L6" s="762">
        <v>2.61</v>
      </c>
      <c r="M6" s="762">
        <f t="shared" si="3"/>
        <v>219.23999999999998</v>
      </c>
      <c r="N6" s="764"/>
    </row>
    <row r="7" spans="1:14" s="765" customFormat="1" x14ac:dyDescent="0.25">
      <c r="A7" s="947">
        <v>4</v>
      </c>
      <c r="B7" s="760">
        <v>84</v>
      </c>
      <c r="C7" s="766" t="s">
        <v>150</v>
      </c>
      <c r="D7" s="762">
        <v>5.15</v>
      </c>
      <c r="E7" s="762">
        <f t="shared" si="0"/>
        <v>432.6</v>
      </c>
      <c r="F7" s="762">
        <v>4</v>
      </c>
      <c r="G7" s="762">
        <f t="shared" si="1"/>
        <v>336</v>
      </c>
      <c r="H7" s="762">
        <v>5</v>
      </c>
      <c r="I7" s="762">
        <f t="shared" si="2"/>
        <v>420</v>
      </c>
      <c r="J7" s="762">
        <v>3.75</v>
      </c>
      <c r="K7" s="762">
        <f t="shared" si="4"/>
        <v>315</v>
      </c>
      <c r="L7" s="762">
        <v>2.61</v>
      </c>
      <c r="M7" s="762">
        <f t="shared" si="3"/>
        <v>219.23999999999998</v>
      </c>
      <c r="N7" s="764"/>
    </row>
    <row r="8" spans="1:14" s="765" customFormat="1" x14ac:dyDescent="0.25">
      <c r="A8" s="947">
        <v>5</v>
      </c>
      <c r="B8" s="760">
        <v>24</v>
      </c>
      <c r="C8" s="766" t="s">
        <v>151</v>
      </c>
      <c r="D8" s="762">
        <v>5.15</v>
      </c>
      <c r="E8" s="762">
        <f t="shared" si="0"/>
        <v>123.60000000000001</v>
      </c>
      <c r="F8" s="762">
        <v>4</v>
      </c>
      <c r="G8" s="762">
        <f t="shared" si="1"/>
        <v>96</v>
      </c>
      <c r="H8" s="762">
        <v>5</v>
      </c>
      <c r="I8" s="762">
        <f t="shared" si="2"/>
        <v>120</v>
      </c>
      <c r="J8" s="762">
        <v>3.75</v>
      </c>
      <c r="K8" s="762">
        <f t="shared" si="4"/>
        <v>90</v>
      </c>
      <c r="L8" s="762">
        <v>2.61</v>
      </c>
      <c r="M8" s="762">
        <f t="shared" si="3"/>
        <v>62.64</v>
      </c>
      <c r="N8" s="764"/>
    </row>
    <row r="9" spans="1:14" s="765" customFormat="1" x14ac:dyDescent="0.25">
      <c r="A9" s="947">
        <v>6</v>
      </c>
      <c r="B9" s="760">
        <v>24</v>
      </c>
      <c r="C9" s="766" t="s">
        <v>152</v>
      </c>
      <c r="D9" s="762">
        <v>19.95</v>
      </c>
      <c r="E9" s="762">
        <f>+D9*B9</f>
        <v>478.79999999999995</v>
      </c>
      <c r="F9" s="762">
        <v>12.12</v>
      </c>
      <c r="G9" s="762">
        <f>+F9*B9</f>
        <v>290.88</v>
      </c>
      <c r="H9" s="762">
        <v>8.5</v>
      </c>
      <c r="I9" s="762">
        <f t="shared" si="2"/>
        <v>204</v>
      </c>
      <c r="J9" s="762">
        <v>11.5</v>
      </c>
      <c r="K9" s="762">
        <f t="shared" si="4"/>
        <v>276</v>
      </c>
      <c r="L9" s="762">
        <v>9.5500000000000007</v>
      </c>
      <c r="M9" s="762">
        <f t="shared" si="3"/>
        <v>229.20000000000002</v>
      </c>
      <c r="N9" s="764"/>
    </row>
    <row r="10" spans="1:14" s="765" customFormat="1" x14ac:dyDescent="0.25">
      <c r="A10" s="947">
        <v>7</v>
      </c>
      <c r="B10" s="760">
        <v>24</v>
      </c>
      <c r="C10" s="766" t="s">
        <v>153</v>
      </c>
      <c r="D10" s="762">
        <v>19.95</v>
      </c>
      <c r="E10" s="762">
        <f t="shared" ref="E10:E13" si="5">+D10*B10</f>
        <v>478.79999999999995</v>
      </c>
      <c r="F10" s="762">
        <v>12.12</v>
      </c>
      <c r="G10" s="762">
        <f t="shared" ref="G10:G12" si="6">+F10*B10</f>
        <v>290.88</v>
      </c>
      <c r="H10" s="762">
        <v>8.5</v>
      </c>
      <c r="I10" s="762">
        <f t="shared" si="2"/>
        <v>204</v>
      </c>
      <c r="J10" s="762">
        <f>240/B10</f>
        <v>10</v>
      </c>
      <c r="K10" s="762">
        <f t="shared" si="4"/>
        <v>240</v>
      </c>
      <c r="L10" s="762">
        <v>9.5500000000000007</v>
      </c>
      <c r="M10" s="762">
        <f t="shared" si="3"/>
        <v>229.20000000000002</v>
      </c>
      <c r="N10" s="764"/>
    </row>
    <row r="11" spans="1:14" s="765" customFormat="1" x14ac:dyDescent="0.25">
      <c r="A11" s="947">
        <v>8</v>
      </c>
      <c r="B11" s="760">
        <v>12</v>
      </c>
      <c r="C11" s="766" t="s">
        <v>154</v>
      </c>
      <c r="D11" s="762">
        <v>19.95</v>
      </c>
      <c r="E11" s="762">
        <f t="shared" si="5"/>
        <v>239.39999999999998</v>
      </c>
      <c r="F11" s="762">
        <v>12.12</v>
      </c>
      <c r="G11" s="762">
        <f t="shared" si="6"/>
        <v>145.44</v>
      </c>
      <c r="H11" s="762">
        <v>8.5</v>
      </c>
      <c r="I11" s="762">
        <f t="shared" si="2"/>
        <v>102</v>
      </c>
      <c r="J11" s="762">
        <f>120/B11</f>
        <v>10</v>
      </c>
      <c r="K11" s="762">
        <f t="shared" si="4"/>
        <v>120</v>
      </c>
      <c r="L11" s="762">
        <v>9.5500000000000007</v>
      </c>
      <c r="M11" s="762">
        <f t="shared" si="3"/>
        <v>114.60000000000001</v>
      </c>
      <c r="N11" s="764"/>
    </row>
    <row r="12" spans="1:14" s="765" customFormat="1" x14ac:dyDescent="0.25">
      <c r="A12" s="947">
        <v>9</v>
      </c>
      <c r="B12" s="760">
        <v>24</v>
      </c>
      <c r="C12" s="766" t="s">
        <v>155</v>
      </c>
      <c r="D12" s="762">
        <v>12.5</v>
      </c>
      <c r="E12" s="762">
        <f t="shared" si="5"/>
        <v>300</v>
      </c>
      <c r="F12" s="762">
        <v>12.63</v>
      </c>
      <c r="G12" s="762">
        <f t="shared" si="6"/>
        <v>303.12</v>
      </c>
      <c r="H12" s="762">
        <v>11</v>
      </c>
      <c r="I12" s="762">
        <f t="shared" si="2"/>
        <v>264</v>
      </c>
      <c r="J12" s="762" t="s">
        <v>36</v>
      </c>
      <c r="K12" s="762" t="s">
        <v>36</v>
      </c>
      <c r="L12" s="762">
        <v>8.8699999999999992</v>
      </c>
      <c r="M12" s="762">
        <f>+L12*B12</f>
        <v>212.88</v>
      </c>
      <c r="N12" s="764"/>
    </row>
    <row r="13" spans="1:14" s="765" customFormat="1" x14ac:dyDescent="0.25">
      <c r="A13" s="947">
        <v>10</v>
      </c>
      <c r="B13" s="760">
        <v>12</v>
      </c>
      <c r="C13" s="766" t="s">
        <v>188</v>
      </c>
      <c r="D13" s="762">
        <v>25.95</v>
      </c>
      <c r="E13" s="762">
        <f t="shared" si="5"/>
        <v>311.39999999999998</v>
      </c>
      <c r="F13" s="762">
        <v>33.979999999999997</v>
      </c>
      <c r="G13" s="762">
        <f>+F13*B13</f>
        <v>407.76</v>
      </c>
      <c r="H13" s="762" t="s">
        <v>36</v>
      </c>
      <c r="I13" s="762" t="s">
        <v>36</v>
      </c>
      <c r="J13" s="762" t="s">
        <v>36</v>
      </c>
      <c r="K13" s="762" t="s">
        <v>36</v>
      </c>
      <c r="L13" s="762">
        <v>23.8</v>
      </c>
      <c r="M13" s="762">
        <f t="shared" si="3"/>
        <v>285.60000000000002</v>
      </c>
      <c r="N13" s="764"/>
    </row>
    <row r="14" spans="1:14" s="765" customFormat="1" x14ac:dyDescent="0.25">
      <c r="A14" s="947">
        <v>11</v>
      </c>
      <c r="B14" s="760">
        <v>20</v>
      </c>
      <c r="C14" s="766" t="s">
        <v>189</v>
      </c>
      <c r="D14" s="762">
        <v>36.5</v>
      </c>
      <c r="E14" s="762">
        <f>+D14*B14</f>
        <v>730</v>
      </c>
      <c r="F14" s="762">
        <v>38.950000000000003</v>
      </c>
      <c r="G14" s="762">
        <f>+F14*B14</f>
        <v>779</v>
      </c>
      <c r="H14" s="762">
        <v>27</v>
      </c>
      <c r="I14" s="762">
        <f t="shared" si="2"/>
        <v>540</v>
      </c>
      <c r="J14" s="762" t="s">
        <v>36</v>
      </c>
      <c r="K14" s="762" t="s">
        <v>36</v>
      </c>
      <c r="L14" s="762">
        <v>29.58</v>
      </c>
      <c r="M14" s="762">
        <f t="shared" si="3"/>
        <v>591.59999999999991</v>
      </c>
      <c r="N14" s="764"/>
    </row>
    <row r="15" spans="1:14" s="765" customFormat="1" x14ac:dyDescent="0.25">
      <c r="A15" s="947">
        <v>12</v>
      </c>
      <c r="B15" s="760">
        <v>35</v>
      </c>
      <c r="C15" s="766" t="s">
        <v>191</v>
      </c>
      <c r="D15" s="762">
        <v>59.35</v>
      </c>
      <c r="E15" s="762">
        <f>+D15*B15</f>
        <v>2077.25</v>
      </c>
      <c r="F15" s="762">
        <v>76.3</v>
      </c>
      <c r="G15" s="762">
        <f t="shared" ref="G15:G20" si="7">+F15*B15</f>
        <v>2670.5</v>
      </c>
      <c r="H15" s="762">
        <v>50</v>
      </c>
      <c r="I15" s="762">
        <f t="shared" si="2"/>
        <v>1750</v>
      </c>
      <c r="J15" s="762">
        <v>57</v>
      </c>
      <c r="K15" s="762">
        <f t="shared" ref="K15:K20" si="8">+J15*$B15</f>
        <v>1995</v>
      </c>
      <c r="L15" s="762">
        <v>44.68</v>
      </c>
      <c r="M15" s="762">
        <f t="shared" si="3"/>
        <v>1563.8</v>
      </c>
      <c r="N15" s="764"/>
    </row>
    <row r="16" spans="1:14" s="765" customFormat="1" x14ac:dyDescent="0.25">
      <c r="A16" s="947">
        <v>13</v>
      </c>
      <c r="B16" s="760">
        <v>18</v>
      </c>
      <c r="C16" s="766" t="s">
        <v>192</v>
      </c>
      <c r="D16" s="762">
        <v>39.950000000000003</v>
      </c>
      <c r="E16" s="762">
        <f t="shared" ref="E16:E32" si="9">+D16*B16</f>
        <v>719.1</v>
      </c>
      <c r="F16" s="762">
        <v>64.5</v>
      </c>
      <c r="G16" s="762">
        <f t="shared" si="7"/>
        <v>1161</v>
      </c>
      <c r="H16" s="762">
        <v>60</v>
      </c>
      <c r="I16" s="762">
        <f t="shared" si="2"/>
        <v>1080</v>
      </c>
      <c r="J16" s="762">
        <v>27</v>
      </c>
      <c r="K16" s="762">
        <f t="shared" si="8"/>
        <v>486</v>
      </c>
      <c r="L16" s="762">
        <v>26.51</v>
      </c>
      <c r="M16" s="762">
        <f t="shared" si="3"/>
        <v>477.18</v>
      </c>
      <c r="N16" s="764"/>
    </row>
    <row r="17" spans="1:14" s="765" customFormat="1" x14ac:dyDescent="0.25">
      <c r="A17" s="947">
        <v>14</v>
      </c>
      <c r="B17" s="760">
        <v>12</v>
      </c>
      <c r="C17" s="951" t="s">
        <v>181</v>
      </c>
      <c r="D17" s="762">
        <v>229.5</v>
      </c>
      <c r="E17" s="762">
        <f t="shared" si="9"/>
        <v>2754</v>
      </c>
      <c r="F17" s="762">
        <v>243.82</v>
      </c>
      <c r="G17" s="762">
        <f t="shared" si="7"/>
        <v>2925.84</v>
      </c>
      <c r="H17" s="762">
        <v>196</v>
      </c>
      <c r="I17" s="762">
        <f t="shared" si="2"/>
        <v>2352</v>
      </c>
      <c r="J17" s="762">
        <v>225</v>
      </c>
      <c r="K17" s="762">
        <f t="shared" si="8"/>
        <v>2700</v>
      </c>
      <c r="L17" s="762">
        <v>202.67</v>
      </c>
      <c r="M17" s="762">
        <f t="shared" si="3"/>
        <v>2432.04</v>
      </c>
      <c r="N17" s="764"/>
    </row>
    <row r="18" spans="1:14" s="765" customFormat="1" x14ac:dyDescent="0.25">
      <c r="A18" s="947">
        <v>15</v>
      </c>
      <c r="B18" s="760">
        <v>12</v>
      </c>
      <c r="C18" s="766" t="s">
        <v>163</v>
      </c>
      <c r="D18" s="762">
        <v>28.5</v>
      </c>
      <c r="E18" s="762">
        <f t="shared" si="9"/>
        <v>342</v>
      </c>
      <c r="F18" s="762">
        <v>27.37</v>
      </c>
      <c r="G18" s="762">
        <f t="shared" si="7"/>
        <v>328.44</v>
      </c>
      <c r="H18" s="762">
        <v>30</v>
      </c>
      <c r="I18" s="762">
        <f t="shared" si="2"/>
        <v>360</v>
      </c>
      <c r="J18" s="762">
        <v>24.5</v>
      </c>
      <c r="K18" s="762">
        <f t="shared" si="8"/>
        <v>294</v>
      </c>
      <c r="L18" s="762">
        <v>27.87</v>
      </c>
      <c r="M18" s="762">
        <f t="shared" si="3"/>
        <v>334.44</v>
      </c>
      <c r="N18" s="764"/>
    </row>
    <row r="19" spans="1:14" s="765" customFormat="1" x14ac:dyDescent="0.25">
      <c r="A19" s="947">
        <v>16</v>
      </c>
      <c r="B19" s="760">
        <v>6</v>
      </c>
      <c r="C19" s="766" t="s">
        <v>194</v>
      </c>
      <c r="D19" s="762">
        <v>3.95</v>
      </c>
      <c r="E19" s="762">
        <f t="shared" si="9"/>
        <v>23.700000000000003</v>
      </c>
      <c r="F19" s="762">
        <v>7.9</v>
      </c>
      <c r="G19" s="762">
        <f t="shared" si="7"/>
        <v>47.400000000000006</v>
      </c>
      <c r="H19" s="762">
        <v>4.25</v>
      </c>
      <c r="I19" s="762">
        <f t="shared" si="2"/>
        <v>25.5</v>
      </c>
      <c r="J19" s="762">
        <v>4.55</v>
      </c>
      <c r="K19" s="762">
        <f t="shared" si="8"/>
        <v>27.299999999999997</v>
      </c>
      <c r="L19" s="762">
        <v>3.78</v>
      </c>
      <c r="M19" s="762">
        <f t="shared" si="3"/>
        <v>22.68</v>
      </c>
      <c r="N19" s="764"/>
    </row>
    <row r="20" spans="1:14" s="765" customFormat="1" x14ac:dyDescent="0.25">
      <c r="A20" s="947">
        <v>17</v>
      </c>
      <c r="B20" s="760">
        <v>3</v>
      </c>
      <c r="C20" s="766" t="s">
        <v>195</v>
      </c>
      <c r="D20" s="762">
        <v>212.88</v>
      </c>
      <c r="E20" s="762">
        <f t="shared" si="9"/>
        <v>638.64</v>
      </c>
      <c r="F20" s="762">
        <v>180.5</v>
      </c>
      <c r="G20" s="762">
        <f t="shared" si="7"/>
        <v>541.5</v>
      </c>
      <c r="H20" s="762">
        <v>167</v>
      </c>
      <c r="I20" s="762">
        <f t="shared" si="2"/>
        <v>501</v>
      </c>
      <c r="J20" s="762">
        <v>155</v>
      </c>
      <c r="K20" s="762">
        <f t="shared" si="8"/>
        <v>465</v>
      </c>
      <c r="L20" s="762">
        <v>180.51</v>
      </c>
      <c r="M20" s="762">
        <f t="shared" si="3"/>
        <v>541.53</v>
      </c>
      <c r="N20" s="764"/>
    </row>
    <row r="21" spans="1:14" s="765" customFormat="1" x14ac:dyDescent="0.25">
      <c r="A21" s="947">
        <v>18</v>
      </c>
      <c r="B21" s="760">
        <v>1</v>
      </c>
      <c r="C21" s="766" t="s">
        <v>196</v>
      </c>
      <c r="D21" s="762">
        <v>225.78</v>
      </c>
      <c r="E21" s="762">
        <f>+D21*B21</f>
        <v>225.78</v>
      </c>
      <c r="F21" s="762">
        <v>261.5</v>
      </c>
      <c r="G21" s="762">
        <f>+F21*B21</f>
        <v>261.5</v>
      </c>
      <c r="H21" s="762">
        <v>186</v>
      </c>
      <c r="I21" s="762">
        <f t="shared" si="2"/>
        <v>186</v>
      </c>
      <c r="J21" s="762" t="s">
        <v>36</v>
      </c>
      <c r="K21" s="762" t="s">
        <v>36</v>
      </c>
      <c r="L21" s="762">
        <v>205.92</v>
      </c>
      <c r="M21" s="762">
        <f t="shared" si="3"/>
        <v>205.92</v>
      </c>
      <c r="N21" s="764"/>
    </row>
    <row r="22" spans="1:14" s="765" customFormat="1" x14ac:dyDescent="0.25">
      <c r="A22" s="947">
        <v>19</v>
      </c>
      <c r="B22" s="760">
        <v>12</v>
      </c>
      <c r="C22" s="766" t="s">
        <v>197</v>
      </c>
      <c r="D22" s="762">
        <v>120</v>
      </c>
      <c r="E22" s="762">
        <f t="shared" ref="E22:E31" si="10">+D22*B22</f>
        <v>1440</v>
      </c>
      <c r="F22" s="762">
        <v>96.2</v>
      </c>
      <c r="G22" s="762">
        <f>+F22*B22</f>
        <v>1154.4000000000001</v>
      </c>
      <c r="H22" s="762">
        <v>166</v>
      </c>
      <c r="I22" s="762">
        <f t="shared" si="2"/>
        <v>1992</v>
      </c>
      <c r="J22" s="762">
        <v>91.5</v>
      </c>
      <c r="K22" s="762">
        <f>+J22*$B22</f>
        <v>1098</v>
      </c>
      <c r="L22" s="762">
        <v>84.6</v>
      </c>
      <c r="M22" s="762">
        <f t="shared" si="3"/>
        <v>1015.1999999999999</v>
      </c>
      <c r="N22" s="764"/>
    </row>
    <row r="23" spans="1:14" s="765" customFormat="1" x14ac:dyDescent="0.25">
      <c r="A23" s="947">
        <v>20</v>
      </c>
      <c r="B23" s="760">
        <v>6</v>
      </c>
      <c r="C23" s="766" t="s">
        <v>200</v>
      </c>
      <c r="D23" s="762">
        <v>24.3</v>
      </c>
      <c r="E23" s="762">
        <f t="shared" si="10"/>
        <v>145.80000000000001</v>
      </c>
      <c r="F23" s="762">
        <v>14.94</v>
      </c>
      <c r="G23" s="762">
        <f t="shared" ref="G23:G32" si="11">+F23*B23</f>
        <v>89.64</v>
      </c>
      <c r="H23" s="762">
        <v>89</v>
      </c>
      <c r="I23" s="762">
        <f t="shared" si="2"/>
        <v>534</v>
      </c>
      <c r="J23" s="762">
        <v>14.9</v>
      </c>
      <c r="K23" s="762">
        <f>+J23*$B23</f>
        <v>89.4</v>
      </c>
      <c r="L23" s="762">
        <v>11.03</v>
      </c>
      <c r="M23" s="762">
        <f t="shared" si="3"/>
        <v>66.179999999999993</v>
      </c>
      <c r="N23" s="764"/>
    </row>
    <row r="24" spans="1:14" s="765" customFormat="1" x14ac:dyDescent="0.25">
      <c r="A24" s="947">
        <v>21</v>
      </c>
      <c r="B24" s="760">
        <v>6</v>
      </c>
      <c r="C24" s="766" t="s">
        <v>201</v>
      </c>
      <c r="D24" s="762">
        <v>99.5</v>
      </c>
      <c r="E24" s="762">
        <f t="shared" si="10"/>
        <v>597</v>
      </c>
      <c r="F24" s="762">
        <v>88</v>
      </c>
      <c r="G24" s="762">
        <f t="shared" si="11"/>
        <v>528</v>
      </c>
      <c r="H24" s="762">
        <v>22</v>
      </c>
      <c r="I24" s="762">
        <f t="shared" si="2"/>
        <v>132</v>
      </c>
      <c r="J24" s="762">
        <v>75</v>
      </c>
      <c r="K24" s="762">
        <f>+J24*$B24</f>
        <v>450</v>
      </c>
      <c r="L24" s="762">
        <v>87.99</v>
      </c>
      <c r="M24" s="762">
        <f t="shared" si="3"/>
        <v>527.93999999999994</v>
      </c>
      <c r="N24" s="764"/>
    </row>
    <row r="25" spans="1:14" s="765" customFormat="1" x14ac:dyDescent="0.25">
      <c r="A25" s="947">
        <v>22</v>
      </c>
      <c r="B25" s="760">
        <v>6</v>
      </c>
      <c r="C25" s="766" t="s">
        <v>183</v>
      </c>
      <c r="D25" s="762">
        <v>24.25</v>
      </c>
      <c r="E25" s="762">
        <f t="shared" si="10"/>
        <v>145.5</v>
      </c>
      <c r="F25" s="762">
        <v>22.1</v>
      </c>
      <c r="G25" s="762">
        <f t="shared" si="11"/>
        <v>132.60000000000002</v>
      </c>
      <c r="H25" s="762" t="s">
        <v>36</v>
      </c>
      <c r="I25" s="762" t="s">
        <v>36</v>
      </c>
      <c r="J25" s="762">
        <v>19.13</v>
      </c>
      <c r="K25" s="762">
        <f>+J25*B25</f>
        <v>114.78</v>
      </c>
      <c r="L25" s="762">
        <v>24.17</v>
      </c>
      <c r="M25" s="762">
        <f t="shared" si="3"/>
        <v>145.02000000000001</v>
      </c>
      <c r="N25" s="764"/>
    </row>
    <row r="26" spans="1:14" s="765" customFormat="1" x14ac:dyDescent="0.25">
      <c r="A26" s="947">
        <v>23</v>
      </c>
      <c r="B26" s="760">
        <v>12</v>
      </c>
      <c r="C26" s="766" t="s">
        <v>185</v>
      </c>
      <c r="D26" s="762">
        <v>12.75</v>
      </c>
      <c r="E26" s="762">
        <f t="shared" si="10"/>
        <v>153</v>
      </c>
      <c r="F26" s="762">
        <v>11.58</v>
      </c>
      <c r="G26" s="762">
        <f t="shared" si="11"/>
        <v>138.96</v>
      </c>
      <c r="H26" s="762">
        <v>11.75</v>
      </c>
      <c r="I26" s="762">
        <f t="shared" si="2"/>
        <v>141</v>
      </c>
      <c r="J26" s="762">
        <v>12.5</v>
      </c>
      <c r="K26" s="762">
        <f t="shared" ref="K26:K28" si="12">+J26*$B26</f>
        <v>150</v>
      </c>
      <c r="L26" s="762">
        <v>11.62</v>
      </c>
      <c r="M26" s="762">
        <f t="shared" si="3"/>
        <v>139.44</v>
      </c>
      <c r="N26" s="764"/>
    </row>
    <row r="27" spans="1:14" s="765" customFormat="1" x14ac:dyDescent="0.25">
      <c r="A27" s="947">
        <v>24</v>
      </c>
      <c r="B27" s="760">
        <v>24</v>
      </c>
      <c r="C27" s="951" t="s">
        <v>520</v>
      </c>
      <c r="D27" s="762">
        <v>1.05</v>
      </c>
      <c r="E27" s="762">
        <f>+D27*B27</f>
        <v>25.200000000000003</v>
      </c>
      <c r="F27" s="762">
        <v>1.97</v>
      </c>
      <c r="G27" s="762">
        <f t="shared" si="11"/>
        <v>47.28</v>
      </c>
      <c r="H27" s="762">
        <v>3.95</v>
      </c>
      <c r="I27" s="762">
        <f t="shared" si="2"/>
        <v>94.800000000000011</v>
      </c>
      <c r="J27" s="762">
        <f>34/B27</f>
        <v>1.4166666666666667</v>
      </c>
      <c r="K27" s="762">
        <f t="shared" si="12"/>
        <v>34</v>
      </c>
      <c r="L27" s="762">
        <f>35.24/B27</f>
        <v>1.4683333333333335</v>
      </c>
      <c r="M27" s="762">
        <f t="shared" si="3"/>
        <v>35.24</v>
      </c>
      <c r="N27" s="764"/>
    </row>
    <row r="28" spans="1:14" s="765" customFormat="1" x14ac:dyDescent="0.25">
      <c r="A28" s="947">
        <v>25</v>
      </c>
      <c r="B28" s="760">
        <v>24</v>
      </c>
      <c r="C28" s="952" t="s">
        <v>521</v>
      </c>
      <c r="D28" s="762">
        <v>5.22</v>
      </c>
      <c r="E28" s="762">
        <f t="shared" si="10"/>
        <v>125.28</v>
      </c>
      <c r="F28" s="762">
        <v>8.3800000000000008</v>
      </c>
      <c r="G28" s="762">
        <f t="shared" si="11"/>
        <v>201.12</v>
      </c>
      <c r="H28" s="762">
        <v>6.85</v>
      </c>
      <c r="I28" s="762">
        <f t="shared" si="2"/>
        <v>164.39999999999998</v>
      </c>
      <c r="J28" s="762">
        <v>8</v>
      </c>
      <c r="K28" s="762">
        <f t="shared" si="12"/>
        <v>192</v>
      </c>
      <c r="L28" s="762">
        <f>89.82/B28</f>
        <v>3.7424999999999997</v>
      </c>
      <c r="M28" s="762">
        <f t="shared" si="3"/>
        <v>89.82</v>
      </c>
      <c r="N28" s="764"/>
    </row>
    <row r="29" spans="1:14" s="765" customFormat="1" x14ac:dyDescent="0.25">
      <c r="A29" s="947">
        <v>26</v>
      </c>
      <c r="B29" s="953">
        <v>2</v>
      </c>
      <c r="C29" s="952" t="s">
        <v>704</v>
      </c>
      <c r="D29" s="762">
        <v>1273.75</v>
      </c>
      <c r="E29" s="762">
        <f t="shared" si="10"/>
        <v>2547.5</v>
      </c>
      <c r="F29" s="762">
        <v>1440.25</v>
      </c>
      <c r="G29" s="762">
        <f t="shared" si="11"/>
        <v>2880.5</v>
      </c>
      <c r="H29" s="762" t="s">
        <v>36</v>
      </c>
      <c r="I29" s="762" t="s">
        <v>36</v>
      </c>
      <c r="J29" s="762">
        <v>1330</v>
      </c>
      <c r="K29" s="762">
        <f>+J29*B29</f>
        <v>2660</v>
      </c>
      <c r="L29" s="762">
        <v>1262.49</v>
      </c>
      <c r="M29" s="762">
        <f t="shared" si="3"/>
        <v>2524.98</v>
      </c>
      <c r="N29" s="764"/>
    </row>
    <row r="30" spans="1:14" s="765" customFormat="1" x14ac:dyDescent="0.25">
      <c r="A30" s="947">
        <v>27</v>
      </c>
      <c r="B30" s="953">
        <v>12</v>
      </c>
      <c r="C30" s="952" t="s">
        <v>705</v>
      </c>
      <c r="D30" s="954">
        <v>8.65</v>
      </c>
      <c r="E30" s="762">
        <f t="shared" si="10"/>
        <v>103.80000000000001</v>
      </c>
      <c r="F30" s="954">
        <v>12.68</v>
      </c>
      <c r="G30" s="762">
        <f t="shared" si="11"/>
        <v>152.16</v>
      </c>
      <c r="H30" s="954">
        <v>12</v>
      </c>
      <c r="I30" s="762">
        <f t="shared" si="2"/>
        <v>144</v>
      </c>
      <c r="J30" s="954">
        <v>78</v>
      </c>
      <c r="K30" s="762">
        <f t="shared" ref="K30:K32" si="13">+J30*$B30</f>
        <v>936</v>
      </c>
      <c r="L30" s="954">
        <v>11.42</v>
      </c>
      <c r="M30" s="762">
        <f t="shared" si="3"/>
        <v>137.04</v>
      </c>
      <c r="N30" s="764"/>
    </row>
    <row r="31" spans="1:14" s="765" customFormat="1" x14ac:dyDescent="0.25">
      <c r="A31" s="947">
        <v>28</v>
      </c>
      <c r="B31" s="953">
        <v>6</v>
      </c>
      <c r="C31" s="952" t="s">
        <v>706</v>
      </c>
      <c r="D31" s="954">
        <v>16.5</v>
      </c>
      <c r="E31" s="762">
        <f t="shared" si="10"/>
        <v>99</v>
      </c>
      <c r="F31" s="954">
        <v>16.850000000000001</v>
      </c>
      <c r="G31" s="762">
        <f t="shared" si="11"/>
        <v>101.10000000000001</v>
      </c>
      <c r="H31" s="954">
        <v>14</v>
      </c>
      <c r="I31" s="762">
        <f t="shared" si="2"/>
        <v>84</v>
      </c>
      <c r="J31" s="954">
        <v>12</v>
      </c>
      <c r="K31" s="762">
        <f t="shared" si="13"/>
        <v>72</v>
      </c>
      <c r="L31" s="954">
        <v>12.68</v>
      </c>
      <c r="M31" s="762">
        <f t="shared" si="3"/>
        <v>76.08</v>
      </c>
      <c r="N31" s="764"/>
    </row>
    <row r="32" spans="1:14" s="765" customFormat="1" ht="12.75" thickBot="1" x14ac:dyDescent="0.3">
      <c r="A32" s="947">
        <v>29</v>
      </c>
      <c r="B32" s="953">
        <v>24</v>
      </c>
      <c r="C32" s="952" t="s">
        <v>707</v>
      </c>
      <c r="D32" s="954">
        <v>39.5</v>
      </c>
      <c r="E32" s="762">
        <f t="shared" si="9"/>
        <v>948</v>
      </c>
      <c r="F32" s="954">
        <v>44.2</v>
      </c>
      <c r="G32" s="762">
        <f t="shared" si="11"/>
        <v>1060.8000000000002</v>
      </c>
      <c r="H32" s="954">
        <v>33</v>
      </c>
      <c r="I32" s="762">
        <f t="shared" si="2"/>
        <v>792</v>
      </c>
      <c r="J32" s="954">
        <v>39.130000000000003</v>
      </c>
      <c r="K32" s="762">
        <f t="shared" si="13"/>
        <v>939.12000000000012</v>
      </c>
      <c r="L32" s="954">
        <v>48.05</v>
      </c>
      <c r="M32" s="762">
        <f t="shared" si="3"/>
        <v>1153.1999999999998</v>
      </c>
      <c r="N32" s="764"/>
    </row>
    <row r="33" spans="1:15" x14ac:dyDescent="0.25">
      <c r="A33" s="1511" t="s">
        <v>4</v>
      </c>
      <c r="B33" s="1512"/>
      <c r="C33" s="1512"/>
      <c r="D33" s="1513">
        <f>SUM(E4:E32)</f>
        <v>28672.749999999993</v>
      </c>
      <c r="E33" s="1513"/>
      <c r="F33" s="1513">
        <f>SUM(G4:G32)</f>
        <v>28757.819999999996</v>
      </c>
      <c r="G33" s="1513"/>
      <c r="H33" s="1514">
        <f>SUM(I4:I32)</f>
        <v>24506.7</v>
      </c>
      <c r="I33" s="1514"/>
      <c r="J33" s="1514">
        <v>26168.52</v>
      </c>
      <c r="K33" s="1514"/>
      <c r="L33" s="1513">
        <f>SUM(M4:M32)</f>
        <v>24882.23</v>
      </c>
      <c r="M33" s="1517"/>
      <c r="O33" s="768"/>
    </row>
    <row r="34" spans="1:15" x14ac:dyDescent="0.25">
      <c r="A34" s="1518" t="s">
        <v>2</v>
      </c>
      <c r="B34" s="1519"/>
      <c r="C34" s="1519"/>
      <c r="D34" s="1520">
        <v>3854.83</v>
      </c>
      <c r="E34" s="1520"/>
      <c r="F34" s="1520">
        <v>3954.81</v>
      </c>
      <c r="G34" s="1520"/>
      <c r="H34" s="1520">
        <f>3272.13+118.8</f>
        <v>3390.9300000000003</v>
      </c>
      <c r="I34" s="1520"/>
      <c r="J34" s="1520">
        <v>3664.3</v>
      </c>
      <c r="K34" s="1520"/>
      <c r="L34" s="1520">
        <f>2205.89+1628.94</f>
        <v>3834.83</v>
      </c>
      <c r="M34" s="1521"/>
    </row>
    <row r="35" spans="1:15" ht="12.75" thickBot="1" x14ac:dyDescent="0.3">
      <c r="A35" s="1515" t="s">
        <v>3</v>
      </c>
      <c r="B35" s="1516"/>
      <c r="C35" s="1516"/>
      <c r="D35" s="1509">
        <f>(D33)+D34</f>
        <v>32527.579999999994</v>
      </c>
      <c r="E35" s="1509"/>
      <c r="F35" s="1509">
        <f>(F33)+F34</f>
        <v>32712.629999999997</v>
      </c>
      <c r="G35" s="1509"/>
      <c r="H35" s="1509">
        <f t="shared" ref="H35:J35" si="14">(H33)+H34</f>
        <v>27897.63</v>
      </c>
      <c r="I35" s="1509"/>
      <c r="J35" s="1509">
        <f t="shared" si="14"/>
        <v>29832.82</v>
      </c>
      <c r="K35" s="1509"/>
      <c r="L35" s="1509">
        <f t="shared" ref="L35" si="15">(L33)+L34</f>
        <v>28717.059999999998</v>
      </c>
      <c r="M35" s="1510"/>
    </row>
    <row r="37" spans="1:15" x14ac:dyDescent="0.25">
      <c r="E37" s="768"/>
      <c r="F37" s="768"/>
      <c r="G37" s="768"/>
      <c r="I37" s="768"/>
      <c r="K37" s="768"/>
      <c r="M37" s="768"/>
    </row>
  </sheetData>
  <mergeCells count="25">
    <mergeCell ref="A35:C35"/>
    <mergeCell ref="D35:E35"/>
    <mergeCell ref="F35:G35"/>
    <mergeCell ref="H35:I35"/>
    <mergeCell ref="L35:M35"/>
    <mergeCell ref="J35:K35"/>
    <mergeCell ref="A33:C33"/>
    <mergeCell ref="D33:E33"/>
    <mergeCell ref="F33:G33"/>
    <mergeCell ref="H33:I33"/>
    <mergeCell ref="L33:M33"/>
    <mergeCell ref="J33:K33"/>
    <mergeCell ref="A34:C34"/>
    <mergeCell ref="D34:E34"/>
    <mergeCell ref="F34:G34"/>
    <mergeCell ref="H34:I34"/>
    <mergeCell ref="L34:M34"/>
    <mergeCell ref="J34:K34"/>
    <mergeCell ref="A1:M1"/>
    <mergeCell ref="A2:A3"/>
    <mergeCell ref="D2:E2"/>
    <mergeCell ref="F2:G2"/>
    <mergeCell ref="H2:I2"/>
    <mergeCell ref="L2:M2"/>
    <mergeCell ref="J2:K2"/>
  </mergeCells>
  <conditionalFormatting sqref="E4:E32">
    <cfRule type="expression" dxfId="79" priority="26">
      <formula>D4=""</formula>
    </cfRule>
  </conditionalFormatting>
  <conditionalFormatting sqref="E4:E32">
    <cfRule type="expression" dxfId="78" priority="27">
      <formula>D4=MIN($D4,$F4,$H4,$J4,$L4)</formula>
    </cfRule>
  </conditionalFormatting>
  <conditionalFormatting sqref="G4:G32">
    <cfRule type="expression" dxfId="77" priority="7">
      <formula>F4=""</formula>
    </cfRule>
  </conditionalFormatting>
  <conditionalFormatting sqref="G4:G32">
    <cfRule type="expression" dxfId="76" priority="8">
      <formula>F4=MIN($D4,$F4,$H4,$J4,$L4)</formula>
    </cfRule>
  </conditionalFormatting>
  <conditionalFormatting sqref="I4:I32">
    <cfRule type="expression" dxfId="75" priority="5">
      <formula>H4=""</formula>
    </cfRule>
  </conditionalFormatting>
  <conditionalFormatting sqref="I4:I32">
    <cfRule type="expression" dxfId="74" priority="6">
      <formula>H4=MIN($D4,$F4,$H4,$J4,$L4)</formula>
    </cfRule>
  </conditionalFormatting>
  <conditionalFormatting sqref="K4:K32">
    <cfRule type="expression" dxfId="73" priority="3">
      <formula>J4=""</formula>
    </cfRule>
  </conditionalFormatting>
  <conditionalFormatting sqref="K4:K32">
    <cfRule type="expression" dxfId="72" priority="4">
      <formula>J4=MIN($D4,$F4,$H4,$J4,$L4)</formula>
    </cfRule>
  </conditionalFormatting>
  <conditionalFormatting sqref="M4:M32">
    <cfRule type="expression" dxfId="71" priority="1">
      <formula>L4=""</formula>
    </cfRule>
  </conditionalFormatting>
  <conditionalFormatting sqref="M4:M32">
    <cfRule type="expression" dxfId="70" priority="2">
      <formula>L4=MIN($D4,$F4,$H4,$J4,$L4)</formula>
    </cfRule>
  </conditionalFormatting>
  <pageMargins left="0.25" right="0.25" top="0.75" bottom="0.75" header="0.3" footer="0.3"/>
  <pageSetup orientation="landscape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9BF2-4EB1-4B3F-B7E5-F0CF47DE827F}">
  <sheetPr codeName="Hoja129"/>
  <dimension ref="B3:L22"/>
  <sheetViews>
    <sheetView showGridLines="0" workbookViewId="0">
      <selection activeCell="K1" sqref="K1"/>
    </sheetView>
  </sheetViews>
  <sheetFormatPr baseColWidth="10" defaultRowHeight="15" x14ac:dyDescent="0.25"/>
  <cols>
    <col min="1" max="1" width="4" style="53" bestFit="1" customWidth="1"/>
    <col min="2" max="2" width="2.5703125" style="53" bestFit="1" customWidth="1"/>
    <col min="3" max="3" width="5.85546875" style="53" bestFit="1" customWidth="1"/>
    <col min="4" max="4" width="16.7109375" style="53" bestFit="1" customWidth="1"/>
    <col min="5" max="9" width="10.140625" style="53" bestFit="1" customWidth="1"/>
    <col min="10" max="10" width="11.7109375" style="53" bestFit="1" customWidth="1"/>
    <col min="11" max="11" width="4" style="54" bestFit="1" customWidth="1"/>
    <col min="12" max="12" width="13.42578125" style="53" bestFit="1" customWidth="1"/>
    <col min="13" max="16384" width="11.42578125" style="53"/>
  </cols>
  <sheetData>
    <row r="3" spans="2:12" ht="15.75" thickBot="1" x14ac:dyDescent="0.3"/>
    <row r="4" spans="2:12" ht="15.75" thickBot="1" x14ac:dyDescent="0.3">
      <c r="B4" s="1115" t="s">
        <v>1</v>
      </c>
      <c r="C4" s="1128"/>
      <c r="D4" s="1128"/>
      <c r="E4" s="1128"/>
      <c r="F4" s="1128"/>
      <c r="G4" s="1128"/>
      <c r="H4" s="1128"/>
      <c r="I4" s="1128"/>
      <c r="J4" s="1116"/>
    </row>
    <row r="5" spans="2:12" x14ac:dyDescent="0.25">
      <c r="B5" s="1380" t="s">
        <v>6</v>
      </c>
      <c r="C5" s="369" t="s">
        <v>17</v>
      </c>
      <c r="D5" s="370" t="s">
        <v>696</v>
      </c>
      <c r="E5" s="1382" t="s">
        <v>702</v>
      </c>
      <c r="F5" s="1382"/>
      <c r="G5" s="1382" t="s">
        <v>119</v>
      </c>
      <c r="H5" s="1382"/>
      <c r="I5" s="1382" t="s">
        <v>227</v>
      </c>
      <c r="J5" s="1383"/>
    </row>
    <row r="6" spans="2:12" ht="15.75" thickBot="1" x14ac:dyDescent="0.3">
      <c r="B6" s="1381"/>
      <c r="C6" s="371" t="s">
        <v>11</v>
      </c>
      <c r="D6" s="372" t="s">
        <v>0</v>
      </c>
      <c r="E6" s="372" t="s">
        <v>14</v>
      </c>
      <c r="F6" s="372" t="s">
        <v>10</v>
      </c>
      <c r="G6" s="372" t="s">
        <v>14</v>
      </c>
      <c r="H6" s="372" t="s">
        <v>10</v>
      </c>
      <c r="I6" s="372" t="s">
        <v>14</v>
      </c>
      <c r="J6" s="373" t="s">
        <v>10</v>
      </c>
    </row>
    <row r="7" spans="2:12" s="69" customFormat="1" x14ac:dyDescent="0.25">
      <c r="B7" s="62">
        <v>1</v>
      </c>
      <c r="C7" s="63">
        <v>12</v>
      </c>
      <c r="D7" s="64" t="s">
        <v>699</v>
      </c>
      <c r="E7" s="65">
        <f>1.33*TC!C3</f>
        <v>47.474084000000005</v>
      </c>
      <c r="F7" s="66">
        <f>+E7*C7</f>
        <v>569.68900800000006</v>
      </c>
      <c r="G7" s="65">
        <v>20</v>
      </c>
      <c r="H7" s="944">
        <f>+G7*C7</f>
        <v>240</v>
      </c>
      <c r="I7" s="65">
        <f>2.53*TC!C3</f>
        <v>90.307843999999989</v>
      </c>
      <c r="J7" s="67">
        <f>+I7*C7</f>
        <v>1083.6941279999999</v>
      </c>
      <c r="K7" s="68"/>
    </row>
    <row r="8" spans="2:12" s="69" customFormat="1" x14ac:dyDescent="0.25">
      <c r="B8" s="70">
        <v>2</v>
      </c>
      <c r="C8" s="192">
        <v>12</v>
      </c>
      <c r="D8" s="193" t="s">
        <v>700</v>
      </c>
      <c r="E8" s="65" t="s">
        <v>36</v>
      </c>
      <c r="F8" s="66" t="s">
        <v>36</v>
      </c>
      <c r="G8" s="65" t="s">
        <v>36</v>
      </c>
      <c r="H8" s="66" t="s">
        <v>36</v>
      </c>
      <c r="I8" s="65">
        <f>3.71*TC!C3</f>
        <v>132.427708</v>
      </c>
      <c r="J8" s="945">
        <f>+I8*C8</f>
        <v>1589.1324959999999</v>
      </c>
      <c r="K8" s="68"/>
    </row>
    <row r="9" spans="2:12" ht="15.75" thickBot="1" x14ac:dyDescent="0.3">
      <c r="B9" s="62">
        <v>3</v>
      </c>
      <c r="C9" s="63">
        <v>12</v>
      </c>
      <c r="D9" s="946" t="s">
        <v>701</v>
      </c>
      <c r="E9" s="65">
        <f>0.42*TC!C3</f>
        <v>14.991816</v>
      </c>
      <c r="F9" s="66">
        <f>+E9*C9</f>
        <v>179.901792</v>
      </c>
      <c r="G9" s="65">
        <v>11.66</v>
      </c>
      <c r="H9" s="944">
        <f>+G9*C9</f>
        <v>139.92000000000002</v>
      </c>
      <c r="I9" s="65">
        <f>0.8*TC!C3</f>
        <v>28.555840000000003</v>
      </c>
      <c r="J9" s="67">
        <f>+I9*C9</f>
        <v>342.67008000000004</v>
      </c>
    </row>
    <row r="10" spans="2:12" x14ac:dyDescent="0.25">
      <c r="B10" s="1132" t="s">
        <v>4</v>
      </c>
      <c r="C10" s="1133"/>
      <c r="D10" s="1133"/>
      <c r="E10" s="1378">
        <f>SUM(F7:F9)</f>
        <v>749.59080000000006</v>
      </c>
      <c r="F10" s="1378"/>
      <c r="G10" s="1378">
        <f t="shared" ref="G10" si="0">SUM(H7:H9)</f>
        <v>379.92</v>
      </c>
      <c r="H10" s="1378"/>
      <c r="I10" s="1378">
        <f t="shared" ref="I10" si="1">SUM(J7:J9)</f>
        <v>3015.4967039999997</v>
      </c>
      <c r="J10" s="1379"/>
    </row>
    <row r="11" spans="2:12" x14ac:dyDescent="0.25">
      <c r="B11" s="1123" t="s">
        <v>5</v>
      </c>
      <c r="C11" s="1124"/>
      <c r="D11" s="1124"/>
      <c r="E11" s="1376">
        <v>0</v>
      </c>
      <c r="F11" s="1376"/>
      <c r="G11" s="1376">
        <v>0</v>
      </c>
      <c r="H11" s="1376"/>
      <c r="I11" s="1376">
        <v>0</v>
      </c>
      <c r="J11" s="1377"/>
    </row>
    <row r="12" spans="2:12" x14ac:dyDescent="0.25">
      <c r="B12" s="1123" t="s">
        <v>2</v>
      </c>
      <c r="C12" s="1124"/>
      <c r="D12" s="1124"/>
      <c r="E12" s="1374">
        <f>(E10)*15%</f>
        <v>112.43862</v>
      </c>
      <c r="F12" s="1374"/>
      <c r="G12" s="1374">
        <f t="shared" ref="G12" si="2">(G10)*15%</f>
        <v>56.988</v>
      </c>
      <c r="H12" s="1374"/>
      <c r="I12" s="1374">
        <f t="shared" ref="I12" si="3">(I10)*15%</f>
        <v>452.32450559999995</v>
      </c>
      <c r="J12" s="1375"/>
    </row>
    <row r="13" spans="2:12" ht="15.75" thickBot="1" x14ac:dyDescent="0.3">
      <c r="B13" s="1109" t="s">
        <v>3</v>
      </c>
      <c r="C13" s="1110"/>
      <c r="D13" s="1110"/>
      <c r="E13" s="1372">
        <f>(E10)+E12</f>
        <v>862.02942000000007</v>
      </c>
      <c r="F13" s="1372"/>
      <c r="G13" s="1372">
        <f t="shared" ref="G13" si="4">(G10)+G12</f>
        <v>436.90800000000002</v>
      </c>
      <c r="H13" s="1372"/>
      <c r="I13" s="1372">
        <f t="shared" ref="I13" si="5">(I10)+I12</f>
        <v>3467.8212095999997</v>
      </c>
      <c r="J13" s="1373"/>
      <c r="L13" s="72"/>
    </row>
    <row r="14" spans="2:12" ht="15.75" thickBot="1" x14ac:dyDescent="0.3">
      <c r="L14" s="72"/>
    </row>
    <row r="15" spans="2:12" ht="15.75" thickBot="1" x14ac:dyDescent="0.3">
      <c r="B15" s="1129" t="s">
        <v>6</v>
      </c>
      <c r="C15" s="55" t="s">
        <v>17</v>
      </c>
      <c r="D15" s="56" t="s">
        <v>696</v>
      </c>
      <c r="E15" s="1131" t="s">
        <v>614</v>
      </c>
      <c r="F15" s="1116"/>
      <c r="G15" s="1115" t="s">
        <v>703</v>
      </c>
      <c r="H15" s="1116"/>
      <c r="I15" s="1115" t="s">
        <v>397</v>
      </c>
      <c r="J15" s="1116"/>
    </row>
    <row r="16" spans="2:12" s="54" customFormat="1" ht="15.75" thickBot="1" x14ac:dyDescent="0.3">
      <c r="B16" s="1130"/>
      <c r="C16" s="57" t="s">
        <v>11</v>
      </c>
      <c r="D16" s="58" t="s">
        <v>0</v>
      </c>
      <c r="E16" s="59" t="s">
        <v>14</v>
      </c>
      <c r="F16" s="943" t="s">
        <v>10</v>
      </c>
      <c r="G16" s="59" t="s">
        <v>14</v>
      </c>
      <c r="H16" s="943" t="s">
        <v>10</v>
      </c>
      <c r="I16" s="59" t="s">
        <v>14</v>
      </c>
      <c r="J16" s="61" t="s">
        <v>10</v>
      </c>
      <c r="L16" s="53"/>
    </row>
    <row r="17" spans="2:12" s="54" customFormat="1" x14ac:dyDescent="0.25">
      <c r="B17" s="62">
        <v>1</v>
      </c>
      <c r="C17" s="63">
        <v>1</v>
      </c>
      <c r="D17" s="64" t="s">
        <v>697</v>
      </c>
      <c r="E17" s="65">
        <v>382.60860000000002</v>
      </c>
      <c r="F17" s="944">
        <f>+E17*C17</f>
        <v>382.60860000000002</v>
      </c>
      <c r="G17" s="65">
        <v>541.69000000000005</v>
      </c>
      <c r="H17" s="66">
        <f>+G17*C17</f>
        <v>541.69000000000005</v>
      </c>
      <c r="I17" s="65" t="s">
        <v>36</v>
      </c>
      <c r="J17" s="67" t="s">
        <v>36</v>
      </c>
      <c r="L17" s="53"/>
    </row>
    <row r="18" spans="2:12" s="54" customFormat="1" ht="15.75" thickBot="1" x14ac:dyDescent="0.3">
      <c r="B18" s="62">
        <v>2</v>
      </c>
      <c r="C18" s="63">
        <v>10</v>
      </c>
      <c r="D18" s="64" t="s">
        <v>698</v>
      </c>
      <c r="E18" s="65">
        <f>565.2173/C18</f>
        <v>56.521730000000005</v>
      </c>
      <c r="F18" s="944">
        <f>+E18*C18</f>
        <v>565.21730000000002</v>
      </c>
      <c r="G18" s="65" t="s">
        <v>36</v>
      </c>
      <c r="H18" s="66" t="s">
        <v>36</v>
      </c>
      <c r="I18" s="65" t="s">
        <v>36</v>
      </c>
      <c r="J18" s="67" t="s">
        <v>36</v>
      </c>
      <c r="L18" s="53"/>
    </row>
    <row r="19" spans="2:12" s="54" customFormat="1" x14ac:dyDescent="0.25">
      <c r="B19" s="1132" t="s">
        <v>4</v>
      </c>
      <c r="C19" s="1133"/>
      <c r="D19" s="1134"/>
      <c r="E19" s="1117">
        <f>SUM(F17:F18)</f>
        <v>947.82590000000005</v>
      </c>
      <c r="F19" s="1118"/>
      <c r="G19" s="1117">
        <f t="shared" ref="G19" si="6">SUM(H17:H18)</f>
        <v>541.69000000000005</v>
      </c>
      <c r="H19" s="1118"/>
      <c r="I19" s="1117">
        <f t="shared" ref="I19" si="7">SUM(J17:J18)</f>
        <v>0</v>
      </c>
      <c r="J19" s="1118"/>
      <c r="L19" s="53"/>
    </row>
    <row r="20" spans="2:12" s="54" customFormat="1" x14ac:dyDescent="0.25">
      <c r="B20" s="1123" t="s">
        <v>5</v>
      </c>
      <c r="C20" s="1124"/>
      <c r="D20" s="1125"/>
      <c r="E20" s="1270">
        <v>0</v>
      </c>
      <c r="F20" s="1271"/>
      <c r="G20" s="1270">
        <v>0.1</v>
      </c>
      <c r="H20" s="1271"/>
      <c r="I20" s="1270">
        <v>0</v>
      </c>
      <c r="J20" s="1271"/>
      <c r="L20" s="53"/>
    </row>
    <row r="21" spans="2:12" s="54" customFormat="1" x14ac:dyDescent="0.25">
      <c r="B21" s="1123" t="s">
        <v>2</v>
      </c>
      <c r="C21" s="1124"/>
      <c r="D21" s="1125"/>
      <c r="E21" s="1119">
        <f>(E19)*15%</f>
        <v>142.17388500000001</v>
      </c>
      <c r="F21" s="1120"/>
      <c r="G21" s="1119">
        <f t="shared" ref="G21" si="8">(G19)*15%</f>
        <v>81.253500000000003</v>
      </c>
      <c r="H21" s="1120"/>
      <c r="I21" s="1119">
        <f t="shared" ref="I21" si="9">(I19)*15%</f>
        <v>0</v>
      </c>
      <c r="J21" s="1120"/>
      <c r="L21" s="53"/>
    </row>
    <row r="22" spans="2:12" s="54" customFormat="1" ht="15.75" thickBot="1" x14ac:dyDescent="0.3">
      <c r="B22" s="1109" t="s">
        <v>3</v>
      </c>
      <c r="C22" s="1110"/>
      <c r="D22" s="1111"/>
      <c r="E22" s="1633">
        <f>(E19)+E21</f>
        <v>1089.999785</v>
      </c>
      <c r="F22" s="1634"/>
      <c r="G22" s="1633">
        <f t="shared" ref="G22" si="10">(G19)+G21</f>
        <v>622.94350000000009</v>
      </c>
      <c r="H22" s="1634"/>
      <c r="I22" s="1633">
        <f t="shared" ref="I22" si="11">(I19)+I21</f>
        <v>0</v>
      </c>
      <c r="J22" s="1634"/>
      <c r="L22" s="53"/>
    </row>
  </sheetData>
  <mergeCells count="41">
    <mergeCell ref="G10:H10"/>
    <mergeCell ref="I10:J10"/>
    <mergeCell ref="B10:D10"/>
    <mergeCell ref="E10:F10"/>
    <mergeCell ref="B4:J4"/>
    <mergeCell ref="B5:B6"/>
    <mergeCell ref="E5:F5"/>
    <mergeCell ref="G5:H5"/>
    <mergeCell ref="I5:J5"/>
    <mergeCell ref="B11:D11"/>
    <mergeCell ref="E11:F11"/>
    <mergeCell ref="G11:H11"/>
    <mergeCell ref="I11:J11"/>
    <mergeCell ref="B12:D12"/>
    <mergeCell ref="E12:F12"/>
    <mergeCell ref="G12:H12"/>
    <mergeCell ref="I12:J12"/>
    <mergeCell ref="B13:D13"/>
    <mergeCell ref="E13:F13"/>
    <mergeCell ref="G13:H13"/>
    <mergeCell ref="I13:J13"/>
    <mergeCell ref="B15:B16"/>
    <mergeCell ref="E15:F15"/>
    <mergeCell ref="G15:H15"/>
    <mergeCell ref="I15:J15"/>
    <mergeCell ref="B19:D19"/>
    <mergeCell ref="E19:F19"/>
    <mergeCell ref="G19:H19"/>
    <mergeCell ref="I19:J19"/>
    <mergeCell ref="B20:D20"/>
    <mergeCell ref="E20:F20"/>
    <mergeCell ref="G20:H20"/>
    <mergeCell ref="I20:J20"/>
    <mergeCell ref="B21:D21"/>
    <mergeCell ref="E21:F21"/>
    <mergeCell ref="G21:H21"/>
    <mergeCell ref="I21:J21"/>
    <mergeCell ref="B22:D22"/>
    <mergeCell ref="E22:F22"/>
    <mergeCell ref="G22:H22"/>
    <mergeCell ref="I22:J22"/>
  </mergeCells>
  <conditionalFormatting sqref="F17:F18 H17:H18 J17:J18">
    <cfRule type="expression" dxfId="69" priority="7">
      <formula>E17=""</formula>
    </cfRule>
    <cfRule type="expression" dxfId="68" priority="8">
      <formula>E17=MIN($E17,$G17,#REF!)</formula>
    </cfRule>
  </conditionalFormatting>
  <pageMargins left="0.25" right="0.25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BDC8A-8FC5-40AD-BBCD-30AB4E648612}">
  <sheetPr codeName="Hoja13"/>
  <dimension ref="A2:L16"/>
  <sheetViews>
    <sheetView showGridLines="0" workbookViewId="0">
      <selection activeCell="D4" sqref="D4:E4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5.28515625" style="53" bestFit="1" customWidth="1"/>
    <col min="4" max="4" width="11.7109375" style="53" bestFit="1" customWidth="1"/>
    <col min="5" max="5" width="12.7109375" style="53" bestFit="1" customWidth="1"/>
    <col min="6" max="6" width="10.140625" style="53" bestFit="1" customWidth="1"/>
    <col min="7" max="7" width="11.7109375" style="53" bestFit="1" customWidth="1"/>
    <col min="8" max="8" width="10.140625" style="53" bestFit="1" customWidth="1"/>
    <col min="9" max="11" width="11.7109375" style="53" bestFit="1" customWidth="1"/>
    <col min="12" max="12" width="12.5703125" style="54" bestFit="1" customWidth="1"/>
    <col min="13" max="13" width="13.42578125" style="53" bestFit="1" customWidth="1"/>
    <col min="14" max="16384" width="11.42578125" style="53"/>
  </cols>
  <sheetData>
    <row r="2" spans="1:12" ht="15.75" thickBot="1" x14ac:dyDescent="0.3"/>
    <row r="3" spans="1:12" ht="15.75" thickBot="1" x14ac:dyDescent="0.3">
      <c r="A3" s="1115" t="s">
        <v>1</v>
      </c>
      <c r="B3" s="1127"/>
      <c r="C3" s="1127"/>
      <c r="D3" s="1128"/>
      <c r="E3" s="1128"/>
      <c r="F3" s="1128"/>
      <c r="G3" s="1128"/>
      <c r="H3" s="1128"/>
      <c r="I3" s="1128"/>
      <c r="J3" s="1128"/>
      <c r="K3" s="1116"/>
    </row>
    <row r="4" spans="1:12" ht="15.75" thickBot="1" x14ac:dyDescent="0.3">
      <c r="A4" s="1129" t="s">
        <v>6</v>
      </c>
      <c r="B4" s="55" t="s">
        <v>17</v>
      </c>
      <c r="C4" s="56" t="s">
        <v>107</v>
      </c>
      <c r="D4" s="1115" t="s">
        <v>53</v>
      </c>
      <c r="E4" s="1116"/>
      <c r="F4" s="1115" t="s">
        <v>52</v>
      </c>
      <c r="G4" s="1116"/>
      <c r="H4" s="1115" t="s">
        <v>51</v>
      </c>
      <c r="I4" s="1116"/>
      <c r="J4" s="1115" t="s">
        <v>72</v>
      </c>
      <c r="K4" s="1116"/>
    </row>
    <row r="5" spans="1:12" ht="15.75" thickBot="1" x14ac:dyDescent="0.3">
      <c r="A5" s="1130"/>
      <c r="B5" s="57" t="s">
        <v>11</v>
      </c>
      <c r="C5" s="58" t="s">
        <v>0</v>
      </c>
      <c r="D5" s="59" t="s">
        <v>14</v>
      </c>
      <c r="E5" s="186" t="s">
        <v>10</v>
      </c>
      <c r="F5" s="59" t="s">
        <v>14</v>
      </c>
      <c r="G5" s="61" t="s">
        <v>10</v>
      </c>
      <c r="H5" s="59" t="s">
        <v>14</v>
      </c>
      <c r="I5" s="61" t="s">
        <v>10</v>
      </c>
      <c r="J5" s="59" t="s">
        <v>14</v>
      </c>
      <c r="K5" s="61" t="s">
        <v>10</v>
      </c>
    </row>
    <row r="6" spans="1:12" s="69" customFormat="1" ht="45" x14ac:dyDescent="0.25">
      <c r="A6" s="62">
        <v>1</v>
      </c>
      <c r="B6" s="63">
        <v>4</v>
      </c>
      <c r="C6" s="64" t="s">
        <v>108</v>
      </c>
      <c r="D6" s="190">
        <f>(495.6/4)*35.87</f>
        <v>4444.2929999999997</v>
      </c>
      <c r="E6" s="66">
        <f>+D6*B6</f>
        <v>17777.171999999999</v>
      </c>
      <c r="F6" s="65" t="s">
        <v>36</v>
      </c>
      <c r="G6" s="67" t="s">
        <v>36</v>
      </c>
      <c r="H6" s="65" t="s">
        <v>36</v>
      </c>
      <c r="I6" s="67" t="s">
        <v>36</v>
      </c>
      <c r="J6" s="65">
        <v>7200</v>
      </c>
      <c r="K6" s="67">
        <f>+J6</f>
        <v>7200</v>
      </c>
      <c r="L6" s="191" t="s">
        <v>110</v>
      </c>
    </row>
    <row r="7" spans="1:12" s="69" customFormat="1" ht="30.75" thickBot="1" x14ac:dyDescent="0.3">
      <c r="A7" s="70">
        <v>2</v>
      </c>
      <c r="B7" s="192">
        <v>10</v>
      </c>
      <c r="C7" s="193" t="s">
        <v>109</v>
      </c>
      <c r="D7" s="71">
        <f>(171.6/10)*35.87</f>
        <v>615.52919999999995</v>
      </c>
      <c r="E7" s="66">
        <f>+D7*B7</f>
        <v>6155.2919999999995</v>
      </c>
      <c r="F7" s="71">
        <f>2807.68/10</f>
        <v>280.76799999999997</v>
      </c>
      <c r="G7" s="67">
        <f>+F7*B7</f>
        <v>2807.68</v>
      </c>
      <c r="H7" s="194">
        <v>200</v>
      </c>
      <c r="I7" s="67">
        <f>+H7*B7</f>
        <v>2000</v>
      </c>
      <c r="J7" s="71">
        <v>330</v>
      </c>
      <c r="K7" s="67">
        <f>+J7*B7</f>
        <v>3300</v>
      </c>
      <c r="L7" s="68"/>
    </row>
    <row r="8" spans="1:12" x14ac:dyDescent="0.25">
      <c r="A8" s="1132" t="s">
        <v>4</v>
      </c>
      <c r="B8" s="1133"/>
      <c r="C8" s="1134"/>
      <c r="D8" s="1117">
        <f>SUM(E6:E7)</f>
        <v>23932.464</v>
      </c>
      <c r="E8" s="1118"/>
      <c r="F8" s="1117">
        <f>SUM(G6:G7)</f>
        <v>2807.68</v>
      </c>
      <c r="G8" s="1135"/>
      <c r="H8" s="1117">
        <f>SUM(I6:I7)</f>
        <v>2000</v>
      </c>
      <c r="I8" s="1135"/>
      <c r="J8" s="1117">
        <f>SUM(K6:K7)</f>
        <v>10500</v>
      </c>
      <c r="K8" s="1135"/>
      <c r="L8" s="195"/>
    </row>
    <row r="9" spans="1:12" x14ac:dyDescent="0.25">
      <c r="A9" s="1123" t="s">
        <v>5</v>
      </c>
      <c r="B9" s="1124"/>
      <c r="C9" s="1125"/>
      <c r="D9" s="1270">
        <v>0.2</v>
      </c>
      <c r="E9" s="1271"/>
      <c r="F9" s="1270">
        <v>0.2</v>
      </c>
      <c r="G9" s="1272"/>
      <c r="H9" s="1270"/>
      <c r="I9" s="1272"/>
      <c r="J9" s="1270"/>
      <c r="K9" s="1272"/>
      <c r="L9" s="195"/>
    </row>
    <row r="10" spans="1:12" x14ac:dyDescent="0.25">
      <c r="A10" s="1123" t="s">
        <v>2</v>
      </c>
      <c r="B10" s="1124"/>
      <c r="C10" s="1125"/>
      <c r="D10" s="1119">
        <f>D8*15%</f>
        <v>3589.8696</v>
      </c>
      <c r="E10" s="1126"/>
      <c r="F10" s="1119">
        <f>F8*15%</f>
        <v>421.15199999999999</v>
      </c>
      <c r="G10" s="1126"/>
      <c r="H10" s="1119"/>
      <c r="I10" s="1126"/>
      <c r="J10" s="1119"/>
      <c r="K10" s="1126"/>
    </row>
    <row r="11" spans="1:12" ht="15.75" thickBot="1" x14ac:dyDescent="0.3">
      <c r="A11" s="1109" t="s">
        <v>3</v>
      </c>
      <c r="B11" s="1110"/>
      <c r="C11" s="1111"/>
      <c r="D11" s="1112">
        <f>D8+D10</f>
        <v>27522.333599999998</v>
      </c>
      <c r="E11" s="1114"/>
      <c r="F11" s="1112">
        <f>F8+F10</f>
        <v>3228.8319999999999</v>
      </c>
      <c r="G11" s="1114"/>
      <c r="H11" s="1112">
        <f>H8+H10</f>
        <v>2000</v>
      </c>
      <c r="I11" s="1114"/>
      <c r="J11" s="1112">
        <f>J8+J10</f>
        <v>10500</v>
      </c>
      <c r="K11" s="1114"/>
    </row>
    <row r="13" spans="1:12" x14ac:dyDescent="0.25">
      <c r="D13" s="72" t="s">
        <v>111</v>
      </c>
      <c r="E13" s="72" t="s">
        <v>112</v>
      </c>
      <c r="G13" s="72"/>
      <c r="I13" s="72"/>
      <c r="K13" s="72"/>
    </row>
    <row r="14" spans="1:12" x14ac:dyDescent="0.25">
      <c r="E14" s="53" t="s">
        <v>113</v>
      </c>
    </row>
    <row r="15" spans="1:12" x14ac:dyDescent="0.25">
      <c r="D15" s="196" t="s">
        <v>114</v>
      </c>
    </row>
    <row r="16" spans="1:12" x14ac:dyDescent="0.25">
      <c r="D16" s="53" t="s">
        <v>115</v>
      </c>
    </row>
  </sheetData>
  <mergeCells count="26">
    <mergeCell ref="A3:K3"/>
    <mergeCell ref="A4:A5"/>
    <mergeCell ref="D4:E4"/>
    <mergeCell ref="F4:G4"/>
    <mergeCell ref="H4:I4"/>
    <mergeCell ref="J4:K4"/>
    <mergeCell ref="A8:C8"/>
    <mergeCell ref="D8:E8"/>
    <mergeCell ref="F8:G8"/>
    <mergeCell ref="H8:I8"/>
    <mergeCell ref="J8:K8"/>
    <mergeCell ref="A9:C9"/>
    <mergeCell ref="D9:E9"/>
    <mergeCell ref="F9:G9"/>
    <mergeCell ref="H9:I9"/>
    <mergeCell ref="J9:K9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</mergeCells>
  <conditionalFormatting sqref="K6:K7 G6:G7 I6:I7 E6:E7">
    <cfRule type="expression" dxfId="504" priority="23">
      <formula>D6=""</formula>
    </cfRule>
    <cfRule type="expression" dxfId="503" priority="24">
      <formula>D6=MIN(#REF!,$D6,$J6)</formula>
    </cfRule>
  </conditionalFormatting>
  <pageMargins left="0.25" right="0.25" top="0.75" bottom="0.75" header="0.3" footer="0.3"/>
  <pageSetup orientation="landscape" r:id="rId1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886055-55DB-4EFB-837D-6545481B0359}">
  <sheetPr codeName="Hoja130"/>
  <dimension ref="A2:J12"/>
  <sheetViews>
    <sheetView showGridLines="0" workbookViewId="0">
      <selection activeCell="A3" sqref="A3:I3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6.140625" style="367" bestFit="1" customWidth="1"/>
    <col min="4" max="4" width="11.7109375" style="367" hidden="1" customWidth="1"/>
    <col min="5" max="5" width="12.7109375" style="367" hidden="1" customWidth="1"/>
    <col min="6" max="6" width="11.7109375" style="367" bestFit="1" customWidth="1"/>
    <col min="7" max="7" width="12.7109375" style="367" bestFit="1" customWidth="1"/>
    <col min="8" max="8" width="11.7109375" style="367" bestFit="1" customWidth="1"/>
    <col min="9" max="9" width="12.7109375" style="367" bestFit="1" customWidth="1"/>
    <col min="10" max="10" width="13.42578125" style="366" bestFit="1" customWidth="1"/>
    <col min="11" max="11" width="13.42578125" style="367" bestFit="1" customWidth="1"/>
    <col min="12" max="16384" width="11.42578125" style="367"/>
  </cols>
  <sheetData>
    <row r="2" spans="1:10" ht="15.75" thickBot="1" x14ac:dyDescent="0.3"/>
    <row r="3" spans="1:10" s="53" customFormat="1" ht="15.75" thickBot="1" x14ac:dyDescent="0.3">
      <c r="A3" s="1359" t="s">
        <v>1</v>
      </c>
      <c r="B3" s="1360"/>
      <c r="C3" s="1360"/>
      <c r="D3" s="1361"/>
      <c r="E3" s="1361"/>
      <c r="F3" s="1361"/>
      <c r="G3" s="1361"/>
      <c r="H3" s="1361"/>
      <c r="I3" s="1362"/>
      <c r="J3" s="54"/>
    </row>
    <row r="4" spans="1:10" s="53" customFormat="1" ht="15.75" thickBot="1" x14ac:dyDescent="0.3">
      <c r="A4" s="1129" t="s">
        <v>6</v>
      </c>
      <c r="B4" s="55" t="s">
        <v>17</v>
      </c>
      <c r="C4" s="56" t="s">
        <v>708</v>
      </c>
      <c r="D4" s="1131" t="s">
        <v>84</v>
      </c>
      <c r="E4" s="1116"/>
      <c r="F4" s="1115" t="s">
        <v>85</v>
      </c>
      <c r="G4" s="1116"/>
      <c r="H4" s="1115" t="s">
        <v>86</v>
      </c>
      <c r="I4" s="1116"/>
      <c r="J4" s="54"/>
    </row>
    <row r="5" spans="1:10" s="53" customFormat="1" ht="15.75" thickBot="1" x14ac:dyDescent="0.3">
      <c r="A5" s="1130"/>
      <c r="B5" s="57" t="s">
        <v>11</v>
      </c>
      <c r="C5" s="58" t="s">
        <v>0</v>
      </c>
      <c r="D5" s="59" t="s">
        <v>14</v>
      </c>
      <c r="E5" s="950" t="s">
        <v>10</v>
      </c>
      <c r="F5" s="59" t="s">
        <v>14</v>
      </c>
      <c r="G5" s="950" t="s">
        <v>10</v>
      </c>
      <c r="H5" s="59" t="s">
        <v>14</v>
      </c>
      <c r="I5" s="61" t="s">
        <v>10</v>
      </c>
      <c r="J5" s="54"/>
    </row>
    <row r="6" spans="1:10" s="362" customFormat="1" ht="15.75" thickBot="1" x14ac:dyDescent="0.3">
      <c r="A6" s="62">
        <v>1</v>
      </c>
      <c r="B6" s="356">
        <v>20</v>
      </c>
      <c r="C6" s="357" t="s">
        <v>83</v>
      </c>
      <c r="D6" s="358"/>
      <c r="E6" s="359">
        <f>+D6*B6</f>
        <v>0</v>
      </c>
      <c r="F6" s="358">
        <f>77*TC!C3</f>
        <v>2748.4996000000001</v>
      </c>
      <c r="G6" s="359">
        <f>F6*B6</f>
        <v>54969.991999999998</v>
      </c>
      <c r="H6" s="358">
        <f>44550/B6</f>
        <v>2227.5</v>
      </c>
      <c r="I6" s="360">
        <f>+H6*B6</f>
        <v>44550</v>
      </c>
      <c r="J6" s="361"/>
    </row>
    <row r="7" spans="1:10" x14ac:dyDescent="0.25">
      <c r="A7" s="1132" t="s">
        <v>4</v>
      </c>
      <c r="B7" s="1133"/>
      <c r="C7" s="1134"/>
      <c r="D7" s="1117">
        <f>SUM(E6:E6)</f>
        <v>0</v>
      </c>
      <c r="E7" s="1118"/>
      <c r="F7" s="1117">
        <f>SUM(G6:G6)</f>
        <v>54969.991999999998</v>
      </c>
      <c r="G7" s="1118"/>
      <c r="H7" s="1117">
        <f>SUM(I6:I6)</f>
        <v>44550</v>
      </c>
      <c r="I7" s="1135"/>
    </row>
    <row r="8" spans="1:10" x14ac:dyDescent="0.25">
      <c r="A8" s="1123" t="s">
        <v>87</v>
      </c>
      <c r="B8" s="1124"/>
      <c r="C8" s="1125"/>
      <c r="D8" s="1119">
        <v>0</v>
      </c>
      <c r="E8" s="1120"/>
      <c r="F8" s="1119">
        <v>0</v>
      </c>
      <c r="G8" s="1120"/>
      <c r="H8" s="1119">
        <f>+H7*0.05</f>
        <v>2227.5</v>
      </c>
      <c r="I8" s="1126"/>
    </row>
    <row r="9" spans="1:10" x14ac:dyDescent="0.25">
      <c r="A9" s="1369" t="s">
        <v>2</v>
      </c>
      <c r="B9" s="1370"/>
      <c r="C9" s="1371"/>
      <c r="D9" s="1119">
        <f>(D7-D8)*15%</f>
        <v>0</v>
      </c>
      <c r="E9" s="1120"/>
      <c r="F9" s="1119">
        <f>(F7-F8)*15%</f>
        <v>8245.4987999999994</v>
      </c>
      <c r="G9" s="1120"/>
      <c r="H9" s="1119">
        <f>(H7+H8)*15%</f>
        <v>7016.625</v>
      </c>
      <c r="I9" s="1126"/>
    </row>
    <row r="10" spans="1:10" ht="15.75" thickBot="1" x14ac:dyDescent="0.3">
      <c r="A10" s="1363" t="s">
        <v>3</v>
      </c>
      <c r="B10" s="1364"/>
      <c r="C10" s="1365"/>
      <c r="D10" s="1366">
        <f>(D7-D8)+D9</f>
        <v>0</v>
      </c>
      <c r="E10" s="1367"/>
      <c r="F10" s="1366">
        <f>(F7-F8)+F9</f>
        <v>63215.4908</v>
      </c>
      <c r="G10" s="1367"/>
      <c r="H10" s="1366">
        <f>(H7+H8)+H9</f>
        <v>53794.125</v>
      </c>
      <c r="I10" s="1368"/>
    </row>
    <row r="12" spans="1:10" ht="39" customHeight="1" x14ac:dyDescent="0.25">
      <c r="D12" s="1541"/>
      <c r="E12" s="1541"/>
      <c r="F12" s="368"/>
      <c r="G12" s="368"/>
      <c r="I12" s="368"/>
    </row>
  </sheetData>
  <mergeCells count="22">
    <mergeCell ref="A7:C7"/>
    <mergeCell ref="D7:E7"/>
    <mergeCell ref="F7:G7"/>
    <mergeCell ref="H7:I7"/>
    <mergeCell ref="A3:I3"/>
    <mergeCell ref="A4:A5"/>
    <mergeCell ref="D4:E4"/>
    <mergeCell ref="F4:G4"/>
    <mergeCell ref="H4:I4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  <mergeCell ref="D12:E12"/>
  </mergeCells>
  <conditionalFormatting sqref="E6 G6 I6">
    <cfRule type="expression" dxfId="67" priority="1">
      <formula>D6=""</formula>
    </cfRule>
    <cfRule type="expression" dxfId="66" priority="2">
      <formula>D6=MIN($D6,$F6,$H6)</formula>
    </cfRule>
  </conditionalFormatting>
  <pageMargins left="0.25" right="0.25" top="0.75" bottom="0.75" header="0.3" footer="0.3"/>
  <pageSetup orientation="portrait" r:id="rId1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54AAC-5EE7-4E7A-B6AA-81BCECABE445}">
  <sheetPr codeName="Hoja131"/>
  <dimension ref="A1:L14"/>
  <sheetViews>
    <sheetView showGridLines="0" workbookViewId="0">
      <selection activeCell="C4" sqref="C4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7.7109375" style="53" bestFit="1" customWidth="1"/>
    <col min="4" max="4" width="11.7109375" style="53" bestFit="1" customWidth="1"/>
    <col min="5" max="5" width="12.7109375" style="53" bestFit="1" customWidth="1"/>
    <col min="6" max="6" width="10.140625" style="53" bestFit="1" customWidth="1"/>
    <col min="7" max="7" width="11.7109375" style="53" bestFit="1" customWidth="1"/>
    <col min="8" max="8" width="10.140625" style="53" bestFit="1" customWidth="1"/>
    <col min="9" max="9" width="11.7109375" style="53" bestFit="1" customWidth="1"/>
    <col min="10" max="10" width="10.140625" style="53" bestFit="1" customWidth="1"/>
    <col min="11" max="11" width="11.7109375" style="53" bestFit="1" customWidth="1"/>
    <col min="12" max="12" width="13.42578125" style="54" bestFit="1" customWidth="1"/>
    <col min="13" max="13" width="13.42578125" style="53" bestFit="1" customWidth="1"/>
    <col min="14" max="16384" width="11.42578125" style="53"/>
  </cols>
  <sheetData>
    <row r="1" spans="1:12" ht="15.75" thickBot="1" x14ac:dyDescent="0.3">
      <c r="A1" s="1115" t="s">
        <v>1</v>
      </c>
      <c r="B1" s="1127"/>
      <c r="C1" s="1127"/>
      <c r="D1" s="1128"/>
      <c r="E1" s="1128"/>
      <c r="F1" s="1128"/>
      <c r="G1" s="1128"/>
      <c r="H1" s="1128"/>
      <c r="I1" s="1128"/>
      <c r="J1" s="1128"/>
      <c r="K1" s="1116"/>
    </row>
    <row r="2" spans="1:12" ht="15.75" thickBot="1" x14ac:dyDescent="0.3">
      <c r="A2" s="1129" t="s">
        <v>6</v>
      </c>
      <c r="B2" s="55" t="s">
        <v>17</v>
      </c>
      <c r="C2" s="56" t="s">
        <v>709</v>
      </c>
      <c r="D2" s="1131" t="s">
        <v>53</v>
      </c>
      <c r="E2" s="1116"/>
      <c r="F2" s="1115" t="s">
        <v>52</v>
      </c>
      <c r="G2" s="1116"/>
      <c r="H2" s="1115" t="s">
        <v>51</v>
      </c>
      <c r="I2" s="1116"/>
      <c r="J2" s="1115" t="s">
        <v>49</v>
      </c>
      <c r="K2" s="1116"/>
    </row>
    <row r="3" spans="1:12" ht="15.75" thickBot="1" x14ac:dyDescent="0.3">
      <c r="A3" s="1130"/>
      <c r="B3" s="57" t="s">
        <v>11</v>
      </c>
      <c r="C3" s="58" t="s">
        <v>0</v>
      </c>
      <c r="D3" s="59" t="s">
        <v>14</v>
      </c>
      <c r="E3" s="955" t="s">
        <v>10</v>
      </c>
      <c r="F3" s="59" t="s">
        <v>14</v>
      </c>
      <c r="G3" s="955" t="s">
        <v>10</v>
      </c>
      <c r="H3" s="59" t="s">
        <v>14</v>
      </c>
      <c r="I3" s="61" t="s">
        <v>10</v>
      </c>
      <c r="J3" s="59" t="s">
        <v>14</v>
      </c>
      <c r="K3" s="61" t="s">
        <v>10</v>
      </c>
    </row>
    <row r="4" spans="1:12" s="69" customFormat="1" x14ac:dyDescent="0.25">
      <c r="A4" s="62">
        <v>1</v>
      </c>
      <c r="B4" s="63">
        <v>6</v>
      </c>
      <c r="C4" s="64" t="s">
        <v>710</v>
      </c>
      <c r="D4" s="65">
        <f>(608.7/B4)*35.16</f>
        <v>3566.982</v>
      </c>
      <c r="E4" s="66">
        <f>+D4*$B4</f>
        <v>21401.892</v>
      </c>
      <c r="F4" s="65" t="s">
        <v>36</v>
      </c>
      <c r="G4" s="66" t="s">
        <v>36</v>
      </c>
      <c r="H4" s="65" t="s">
        <v>36</v>
      </c>
      <c r="I4" s="66" t="s">
        <v>36</v>
      </c>
      <c r="J4" s="65" t="s">
        <v>36</v>
      </c>
      <c r="K4" s="66" t="s">
        <v>36</v>
      </c>
      <c r="L4" s="68"/>
    </row>
    <row r="5" spans="1:12" s="69" customFormat="1" ht="30.75" customHeight="1" x14ac:dyDescent="0.25">
      <c r="A5" s="62">
        <v>2</v>
      </c>
      <c r="B5" s="63">
        <v>2</v>
      </c>
      <c r="C5" s="64" t="s">
        <v>711</v>
      </c>
      <c r="D5" s="1539" t="s">
        <v>714</v>
      </c>
      <c r="E5" s="1635"/>
      <c r="F5" s="65" t="s">
        <v>36</v>
      </c>
      <c r="G5" s="66" t="s">
        <v>36</v>
      </c>
      <c r="H5" s="65" t="s">
        <v>36</v>
      </c>
      <c r="I5" s="66" t="s">
        <v>36</v>
      </c>
      <c r="J5" s="65" t="s">
        <v>36</v>
      </c>
      <c r="K5" s="66" t="s">
        <v>36</v>
      </c>
      <c r="L5" s="68"/>
    </row>
    <row r="6" spans="1:12" s="69" customFormat="1" x14ac:dyDescent="0.25">
      <c r="A6" s="62">
        <v>3</v>
      </c>
      <c r="B6" s="63">
        <v>10</v>
      </c>
      <c r="C6" s="64" t="s">
        <v>712</v>
      </c>
      <c r="D6" s="65">
        <f>(101.4/B6)*35.16</f>
        <v>356.5224</v>
      </c>
      <c r="E6" s="66">
        <f t="shared" ref="E6:E7" si="0">+D6*$B6</f>
        <v>3565.2240000000002</v>
      </c>
      <c r="F6" s="65" t="s">
        <v>36</v>
      </c>
      <c r="G6" s="66" t="s">
        <v>36</v>
      </c>
      <c r="H6" s="65">
        <v>100</v>
      </c>
      <c r="I6" s="66">
        <f>+H6*B6</f>
        <v>1000</v>
      </c>
      <c r="J6" s="65" t="s">
        <v>36</v>
      </c>
      <c r="K6" s="66" t="s">
        <v>36</v>
      </c>
      <c r="L6" s="68"/>
    </row>
    <row r="7" spans="1:12" s="69" customFormat="1" x14ac:dyDescent="0.25">
      <c r="A7" s="62">
        <v>4</v>
      </c>
      <c r="B7" s="63">
        <v>6</v>
      </c>
      <c r="C7" s="64" t="s">
        <v>713</v>
      </c>
      <c r="D7" s="65">
        <f>(1235.64/B7)*35.16</f>
        <v>7240.8504000000003</v>
      </c>
      <c r="E7" s="66">
        <f t="shared" si="0"/>
        <v>43445.102400000003</v>
      </c>
      <c r="F7" s="65">
        <f>1224.36*0.75</f>
        <v>918.27</v>
      </c>
      <c r="G7" s="66">
        <f>+F7*B7</f>
        <v>5509.62</v>
      </c>
      <c r="H7" s="65">
        <v>950</v>
      </c>
      <c r="I7" s="66">
        <f>+H7*B7</f>
        <v>5700</v>
      </c>
      <c r="J7" s="65" t="s">
        <v>36</v>
      </c>
      <c r="K7" s="66" t="s">
        <v>36</v>
      </c>
      <c r="L7" s="68"/>
    </row>
    <row r="8" spans="1:12" s="69" customFormat="1" ht="15.75" thickBot="1" x14ac:dyDescent="0.3">
      <c r="A8" s="62">
        <v>5</v>
      </c>
      <c r="B8" s="63">
        <v>20</v>
      </c>
      <c r="C8" s="64" t="s">
        <v>74</v>
      </c>
      <c r="D8" s="65" t="s">
        <v>36</v>
      </c>
      <c r="E8" s="66" t="s">
        <v>36</v>
      </c>
      <c r="F8" s="65">
        <f>549.43*0.75</f>
        <v>412.07249999999999</v>
      </c>
      <c r="G8" s="66">
        <f>+F8*B8</f>
        <v>8241.4500000000007</v>
      </c>
      <c r="H8" s="65">
        <v>220</v>
      </c>
      <c r="I8" s="66">
        <f>+H8*B8</f>
        <v>4400</v>
      </c>
      <c r="J8" s="65">
        <f>9213.6/B8</f>
        <v>460.68</v>
      </c>
      <c r="K8" s="66">
        <f>+J8*B8</f>
        <v>9213.6</v>
      </c>
      <c r="L8" s="68"/>
    </row>
    <row r="9" spans="1:12" x14ac:dyDescent="0.25">
      <c r="A9" s="1132" t="s">
        <v>4</v>
      </c>
      <c r="B9" s="1133"/>
      <c r="C9" s="1134"/>
      <c r="D9" s="1117">
        <f>SUM(E4:E8)</f>
        <v>68412.218400000012</v>
      </c>
      <c r="E9" s="1118"/>
      <c r="F9" s="1117">
        <f>SUM(G4:G8)</f>
        <v>13751.07</v>
      </c>
      <c r="G9" s="1118"/>
      <c r="H9" s="1117">
        <f>SUM(I4:I8)</f>
        <v>11100</v>
      </c>
      <c r="I9" s="1135"/>
      <c r="J9" s="1117">
        <f>SUM(K4:K8)</f>
        <v>9213.6</v>
      </c>
      <c r="K9" s="1135"/>
    </row>
    <row r="10" spans="1:12" x14ac:dyDescent="0.25">
      <c r="A10" s="1123" t="s">
        <v>5</v>
      </c>
      <c r="B10" s="1124"/>
      <c r="C10" s="1125"/>
      <c r="D10" s="1119">
        <v>0</v>
      </c>
      <c r="E10" s="1120"/>
      <c r="F10" s="1270">
        <v>0.25</v>
      </c>
      <c r="G10" s="1271"/>
      <c r="H10" s="1119">
        <v>0</v>
      </c>
      <c r="I10" s="1126"/>
      <c r="J10" s="1119">
        <v>0</v>
      </c>
      <c r="K10" s="1126"/>
    </row>
    <row r="11" spans="1:12" x14ac:dyDescent="0.25">
      <c r="A11" s="1123" t="s">
        <v>2</v>
      </c>
      <c r="B11" s="1124"/>
      <c r="C11" s="1125"/>
      <c r="D11" s="1119">
        <f>(D9-D10)*15%</f>
        <v>10261.832760000001</v>
      </c>
      <c r="E11" s="1120"/>
      <c r="F11" s="1119">
        <f>(F9)*15%</f>
        <v>2062.6605</v>
      </c>
      <c r="G11" s="1120"/>
      <c r="H11" s="1119">
        <v>0</v>
      </c>
      <c r="I11" s="1126"/>
      <c r="J11" s="1119">
        <f>+J9*0.15</f>
        <v>1382.04</v>
      </c>
      <c r="K11" s="1126"/>
    </row>
    <row r="12" spans="1:12" ht="15.75" thickBot="1" x14ac:dyDescent="0.3">
      <c r="A12" s="1109" t="s">
        <v>3</v>
      </c>
      <c r="B12" s="1110"/>
      <c r="C12" s="1111"/>
      <c r="D12" s="1112">
        <f>(D9-D10)+D11</f>
        <v>78674.051160000017</v>
      </c>
      <c r="E12" s="1113"/>
      <c r="F12" s="1112">
        <f>(F9)+F11</f>
        <v>15813.7305</v>
      </c>
      <c r="G12" s="1113"/>
      <c r="H12" s="1112">
        <f>(H9-H10)+H11</f>
        <v>11100</v>
      </c>
      <c r="I12" s="1114"/>
      <c r="J12" s="1112">
        <f>(J9-J10)+J11</f>
        <v>10595.64</v>
      </c>
      <c r="K12" s="1114"/>
    </row>
    <row r="14" spans="1:12" x14ac:dyDescent="0.25">
      <c r="E14" s="72"/>
      <c r="G14" s="72"/>
    </row>
  </sheetData>
  <mergeCells count="27">
    <mergeCell ref="D5:E5"/>
    <mergeCell ref="A11:C11"/>
    <mergeCell ref="D11:E11"/>
    <mergeCell ref="F11:G11"/>
    <mergeCell ref="H11:I11"/>
    <mergeCell ref="A9:C9"/>
    <mergeCell ref="D9:E9"/>
    <mergeCell ref="F9:G9"/>
    <mergeCell ref="H9:I9"/>
    <mergeCell ref="J11:K11"/>
    <mergeCell ref="A12:C12"/>
    <mergeCell ref="D12:E12"/>
    <mergeCell ref="F12:G12"/>
    <mergeCell ref="H12:I12"/>
    <mergeCell ref="J12:K12"/>
    <mergeCell ref="J9:K9"/>
    <mergeCell ref="A10:C10"/>
    <mergeCell ref="D10:E10"/>
    <mergeCell ref="F10:G10"/>
    <mergeCell ref="H10:I10"/>
    <mergeCell ref="J10:K10"/>
    <mergeCell ref="A1:K1"/>
    <mergeCell ref="A2:A3"/>
    <mergeCell ref="D2:E2"/>
    <mergeCell ref="F2:G2"/>
    <mergeCell ref="H2:I2"/>
    <mergeCell ref="J2:K2"/>
  </mergeCells>
  <conditionalFormatting sqref="G4:G8 I4:I8 K4:K8 E6:E8 E4">
    <cfRule type="expression" dxfId="65" priority="1">
      <formula>D4=""</formula>
    </cfRule>
  </conditionalFormatting>
  <conditionalFormatting sqref="E6:E8 E4 G6:G8 G4 I6:I8 I4 K6:K8 K4">
    <cfRule type="expression" dxfId="64" priority="2">
      <formula>D4=MIN($D4,$F4,$H4,$J4)</formula>
    </cfRule>
  </conditionalFormatting>
  <conditionalFormatting sqref="D5">
    <cfRule type="expression" dxfId="63" priority="352">
      <formula>#REF!=""</formula>
    </cfRule>
  </conditionalFormatting>
  <conditionalFormatting sqref="D5">
    <cfRule type="expression" dxfId="62" priority="355">
      <formula>#REF!=MIN(#REF!,$F5,$H5,$J5)</formula>
    </cfRule>
  </conditionalFormatting>
  <conditionalFormatting sqref="G5 I5 K5">
    <cfRule type="expression" dxfId="61" priority="358">
      <formula>F5=MIN(#REF!,$F5,$H5,$J5)</formula>
    </cfRule>
  </conditionalFormatting>
  <pageMargins left="0.25" right="0.25" top="0.75" bottom="0.75" header="0.3" footer="0.3"/>
  <pageSetup orientation="landscape" r:id="rId1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C5D3F-620A-43F9-9483-6793734968F2}">
  <sheetPr codeName="Hoja132"/>
  <dimension ref="B2:K13"/>
  <sheetViews>
    <sheetView showGridLines="0" workbookViewId="0">
      <selection activeCell="D6" sqref="D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18.7109375" style="2" bestFit="1" customWidth="1"/>
    <col min="5" max="5" width="12.28515625" style="2" bestFit="1" customWidth="1"/>
    <col min="6" max="6" width="14.140625" style="2" bestFit="1" customWidth="1"/>
    <col min="7" max="7" width="12.28515625" style="2" bestFit="1" customWidth="1"/>
    <col min="8" max="8" width="14.140625" style="2" bestFit="1" customWidth="1"/>
    <col min="9" max="9" width="12.28515625" style="2" bestFit="1" customWidth="1"/>
    <col min="10" max="10" width="14.140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1" ht="18" thickBot="1" x14ac:dyDescent="0.3">
      <c r="B4" s="1215" t="s">
        <v>6</v>
      </c>
      <c r="C4" s="29" t="s">
        <v>17</v>
      </c>
      <c r="D4" s="30" t="s">
        <v>715</v>
      </c>
      <c r="E4" s="1252" t="s">
        <v>389</v>
      </c>
      <c r="F4" s="1251"/>
      <c r="G4" s="1248" t="s">
        <v>716</v>
      </c>
      <c r="H4" s="1251"/>
      <c r="I4" s="1248" t="s">
        <v>388</v>
      </c>
      <c r="J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956" t="s">
        <v>10</v>
      </c>
      <c r="G5" s="31" t="s">
        <v>14</v>
      </c>
      <c r="H5" s="956" t="s">
        <v>10</v>
      </c>
      <c r="I5" s="31" t="s">
        <v>14</v>
      </c>
      <c r="J5" s="32" t="s">
        <v>10</v>
      </c>
    </row>
    <row r="6" spans="2:11" s="157" customFormat="1" ht="35.25" thickBot="1" x14ac:dyDescent="0.3">
      <c r="B6" s="19">
        <v>1</v>
      </c>
      <c r="C6" s="158">
        <v>24</v>
      </c>
      <c r="D6" s="159" t="s">
        <v>387</v>
      </c>
      <c r="E6" s="160">
        <v>123.6125</v>
      </c>
      <c r="F6" s="210">
        <f>+E6*$C6</f>
        <v>2966.7</v>
      </c>
      <c r="G6" s="160">
        <f>3.7*TC!C3</f>
        <v>132.07076000000001</v>
      </c>
      <c r="H6" s="161">
        <f>+G6*$C6</f>
        <v>3169.6982400000002</v>
      </c>
      <c r="I6" s="160">
        <f>6.5*36.2</f>
        <v>235.3</v>
      </c>
      <c r="J6" s="162">
        <f>+I6*$C6</f>
        <v>5647.2000000000007</v>
      </c>
      <c r="K6" s="163"/>
    </row>
    <row r="7" spans="2:11" x14ac:dyDescent="0.25">
      <c r="B7" s="1217" t="s">
        <v>4</v>
      </c>
      <c r="C7" s="1218"/>
      <c r="D7" s="1219"/>
      <c r="E7" s="1245">
        <f>SUM(F6:F6)</f>
        <v>2966.7</v>
      </c>
      <c r="F7" s="1246"/>
      <c r="G7" s="1245">
        <f>SUM(H6:H6)</f>
        <v>3169.6982400000002</v>
      </c>
      <c r="H7" s="1246"/>
      <c r="I7" s="1245">
        <f>SUM(J6:J6)</f>
        <v>5647.2000000000007</v>
      </c>
      <c r="J7" s="1247"/>
    </row>
    <row r="8" spans="2:11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3"/>
      <c r="I8" s="1242">
        <v>0</v>
      </c>
      <c r="J8" s="1244"/>
    </row>
    <row r="9" spans="2:11" x14ac:dyDescent="0.25">
      <c r="B9" s="1205" t="s">
        <v>2</v>
      </c>
      <c r="C9" s="1206"/>
      <c r="D9" s="1207"/>
      <c r="E9" s="1242">
        <f>(E7-E8)*15%</f>
        <v>445.00499999999994</v>
      </c>
      <c r="F9" s="1243"/>
      <c r="G9" s="1242">
        <f>(G7-G8)*15%</f>
        <v>475.45473600000003</v>
      </c>
      <c r="H9" s="1243"/>
      <c r="I9" s="1242">
        <f>(I7-I8)*15%</f>
        <v>847.08</v>
      </c>
      <c r="J9" s="1244"/>
    </row>
    <row r="10" spans="2:11" ht="18" thickBot="1" x14ac:dyDescent="0.3">
      <c r="B10" s="1236" t="s">
        <v>3</v>
      </c>
      <c r="C10" s="1237"/>
      <c r="D10" s="1238"/>
      <c r="E10" s="1239">
        <f>(E7-E8)+E9</f>
        <v>3411.7049999999999</v>
      </c>
      <c r="F10" s="1240"/>
      <c r="G10" s="1239">
        <f>(G7-G8)+G9</f>
        <v>3645.1529760000003</v>
      </c>
      <c r="H10" s="1240"/>
      <c r="I10" s="1239">
        <f>(I7-I8)+I9</f>
        <v>6494.2800000000007</v>
      </c>
      <c r="J10" s="1241"/>
    </row>
    <row r="12" spans="2:11" x14ac:dyDescent="0.25">
      <c r="F12" s="164"/>
      <c r="G12" s="164"/>
      <c r="H12" s="164"/>
      <c r="I12" s="164"/>
      <c r="J12" s="164"/>
    </row>
    <row r="13" spans="2:11" x14ac:dyDescent="0.25">
      <c r="H13" s="164"/>
      <c r="J13" s="164"/>
    </row>
  </sheetData>
  <mergeCells count="21">
    <mergeCell ref="B3:J3"/>
    <mergeCell ref="B4:B5"/>
    <mergeCell ref="E4:F4"/>
    <mergeCell ref="I4:J4"/>
    <mergeCell ref="B7:D7"/>
    <mergeCell ref="E7:F7"/>
    <mergeCell ref="I7:J7"/>
    <mergeCell ref="B10:D10"/>
    <mergeCell ref="E10:F10"/>
    <mergeCell ref="I10:J10"/>
    <mergeCell ref="G4:H4"/>
    <mergeCell ref="G7:H7"/>
    <mergeCell ref="G8:H8"/>
    <mergeCell ref="G9:H9"/>
    <mergeCell ref="G10:H10"/>
    <mergeCell ref="B8:D8"/>
    <mergeCell ref="E8:F8"/>
    <mergeCell ref="I8:J8"/>
    <mergeCell ref="B9:D9"/>
    <mergeCell ref="E9:F9"/>
    <mergeCell ref="I9:J9"/>
  </mergeCells>
  <conditionalFormatting sqref="F6 J6 H6">
    <cfRule type="expression" dxfId="60" priority="359">
      <formula>E6=""</formula>
    </cfRule>
    <cfRule type="expression" dxfId="59" priority="360">
      <formula>E6=MIN($E6,$I6,#REF!)</formula>
    </cfRule>
  </conditionalFormatting>
  <pageMargins left="0.25" right="0.25" top="0.75" bottom="0.75" header="0.3" footer="0.3"/>
  <pageSetup orientation="landscape" r:id="rId1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93922-AC85-48D9-98A8-E4652BE81C44}">
  <sheetPr codeName="Hoja133"/>
  <dimension ref="B2:M16"/>
  <sheetViews>
    <sheetView showGridLines="0" workbookViewId="0">
      <selection activeCell="K4" sqref="K4:L4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7.85546875" style="34" bestFit="1" customWidth="1"/>
    <col min="5" max="5" width="11.140625" style="34" bestFit="1" customWidth="1"/>
    <col min="6" max="6" width="14" style="34" bestFit="1" customWidth="1"/>
    <col min="7" max="7" width="11.140625" style="34" bestFit="1" customWidth="1"/>
    <col min="8" max="8" width="14" style="34" bestFit="1" customWidth="1"/>
    <col min="9" max="9" width="11.140625" style="34" bestFit="1" customWidth="1"/>
    <col min="10" max="10" width="14" style="34" bestFit="1" customWidth="1"/>
    <col min="11" max="11" width="11.140625" style="34" bestFit="1" customWidth="1"/>
    <col min="12" max="12" width="14" style="34" bestFit="1" customWidth="1"/>
    <col min="13" max="13" width="13.42578125" style="35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1"/>
      <c r="K3" s="1101"/>
      <c r="L3" s="1102"/>
    </row>
    <row r="4" spans="2:13" x14ac:dyDescent="0.25">
      <c r="B4" s="1434" t="s">
        <v>6</v>
      </c>
      <c r="C4" s="505" t="s">
        <v>17</v>
      </c>
      <c r="D4" s="506" t="s">
        <v>717</v>
      </c>
      <c r="E4" s="1435" t="s">
        <v>273</v>
      </c>
      <c r="F4" s="1435"/>
      <c r="G4" s="1435" t="s">
        <v>272</v>
      </c>
      <c r="H4" s="1435"/>
      <c r="I4" s="1435" t="s">
        <v>211</v>
      </c>
      <c r="J4" s="1435"/>
      <c r="K4" s="1435" t="s">
        <v>691</v>
      </c>
      <c r="L4" s="1436"/>
    </row>
    <row r="5" spans="2:13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45" t="s">
        <v>10</v>
      </c>
      <c r="K5" s="45" t="s">
        <v>14</v>
      </c>
      <c r="L5" s="393" t="s">
        <v>10</v>
      </c>
    </row>
    <row r="6" spans="2:13" s="346" customFormat="1" x14ac:dyDescent="0.25">
      <c r="B6" s="957">
        <v>1</v>
      </c>
      <c r="C6" s="507">
        <v>72</v>
      </c>
      <c r="D6" s="508" t="s">
        <v>268</v>
      </c>
      <c r="E6" s="510">
        <v>196</v>
      </c>
      <c r="F6" s="510">
        <f>+E6*$C6</f>
        <v>14112</v>
      </c>
      <c r="G6" s="510">
        <v>175.82</v>
      </c>
      <c r="H6" s="510">
        <f>+G6*$C6</f>
        <v>12659.039999999999</v>
      </c>
      <c r="I6" s="510" t="s">
        <v>36</v>
      </c>
      <c r="J6" s="510" t="s">
        <v>36</v>
      </c>
      <c r="K6" s="510" t="s">
        <v>36</v>
      </c>
      <c r="L6" s="511" t="s">
        <v>36</v>
      </c>
      <c r="M6" s="345"/>
    </row>
    <row r="7" spans="2:13" s="346" customFormat="1" x14ac:dyDescent="0.25">
      <c r="B7" s="421">
        <v>2</v>
      </c>
      <c r="C7" s="647">
        <v>36</v>
      </c>
      <c r="D7" s="589" t="s">
        <v>393</v>
      </c>
      <c r="E7" s="648">
        <v>78</v>
      </c>
      <c r="F7" s="648">
        <f t="shared" ref="F7" si="0">+E7*$C7</f>
        <v>2808</v>
      </c>
      <c r="G7" s="648">
        <v>66.2</v>
      </c>
      <c r="H7" s="648">
        <f t="shared" ref="H7:H9" si="1">+G7*$C7</f>
        <v>2383.2000000000003</v>
      </c>
      <c r="I7" s="648" t="s">
        <v>36</v>
      </c>
      <c r="J7" s="648" t="s">
        <v>36</v>
      </c>
      <c r="K7" s="648" t="s">
        <v>36</v>
      </c>
      <c r="L7" s="649" t="s">
        <v>36</v>
      </c>
      <c r="M7" s="345"/>
    </row>
    <row r="8" spans="2:13" s="346" customFormat="1" ht="31.5" x14ac:dyDescent="0.25">
      <c r="B8" s="421">
        <v>3</v>
      </c>
      <c r="C8" s="647">
        <v>100</v>
      </c>
      <c r="D8" s="589" t="s">
        <v>449</v>
      </c>
      <c r="E8" s="648" t="s">
        <v>36</v>
      </c>
      <c r="F8" s="648" t="s">
        <v>36</v>
      </c>
      <c r="G8" s="648">
        <v>430</v>
      </c>
      <c r="H8" s="648">
        <f t="shared" si="1"/>
        <v>43000</v>
      </c>
      <c r="I8" s="648" t="s">
        <v>36</v>
      </c>
      <c r="J8" s="648" t="s">
        <v>36</v>
      </c>
      <c r="K8" s="648">
        <v>440</v>
      </c>
      <c r="L8" s="649">
        <f>+K8*C8</f>
        <v>44000</v>
      </c>
      <c r="M8" s="345"/>
    </row>
    <row r="9" spans="2:13" s="346" customFormat="1" ht="16.5" thickBot="1" x14ac:dyDescent="0.3">
      <c r="B9" s="401">
        <v>4</v>
      </c>
      <c r="C9" s="512">
        <v>100</v>
      </c>
      <c r="D9" s="513" t="s">
        <v>395</v>
      </c>
      <c r="E9" s="514" t="s">
        <v>36</v>
      </c>
      <c r="F9" s="514" t="s">
        <v>36</v>
      </c>
      <c r="G9" s="514">
        <v>120</v>
      </c>
      <c r="H9" s="514">
        <f t="shared" si="1"/>
        <v>12000</v>
      </c>
      <c r="I9" s="514">
        <v>100</v>
      </c>
      <c r="J9" s="514">
        <f t="shared" ref="J9" si="2">+I9*$C9</f>
        <v>10000</v>
      </c>
      <c r="K9" s="514">
        <v>64</v>
      </c>
      <c r="L9" s="516">
        <f t="shared" ref="L9" si="3">+K9*$C9</f>
        <v>6400</v>
      </c>
      <c r="M9" s="345"/>
    </row>
    <row r="10" spans="2:13" x14ac:dyDescent="0.25">
      <c r="B10" s="1094" t="s">
        <v>4</v>
      </c>
      <c r="C10" s="1095"/>
      <c r="D10" s="1095"/>
      <c r="E10" s="1399">
        <f>SUM(F6:F9)</f>
        <v>16920</v>
      </c>
      <c r="F10" s="1399"/>
      <c r="G10" s="1399">
        <f>SUM(H6:H9)</f>
        <v>70042.239999999991</v>
      </c>
      <c r="H10" s="1399"/>
      <c r="I10" s="1399">
        <f>SUM(J6:J9)</f>
        <v>10000</v>
      </c>
      <c r="J10" s="1399"/>
      <c r="K10" s="1399">
        <f>SUM(L6:L9)</f>
        <v>50400</v>
      </c>
      <c r="L10" s="1403"/>
    </row>
    <row r="11" spans="2:13" x14ac:dyDescent="0.25">
      <c r="B11" s="1096" t="s">
        <v>5</v>
      </c>
      <c r="C11" s="1097"/>
      <c r="D11" s="1097"/>
      <c r="E11" s="1400">
        <v>0</v>
      </c>
      <c r="F11" s="1400"/>
      <c r="G11" s="1400">
        <v>0</v>
      </c>
      <c r="H11" s="1400"/>
      <c r="I11" s="1400">
        <v>0</v>
      </c>
      <c r="J11" s="1400"/>
      <c r="K11" s="1400">
        <v>0</v>
      </c>
      <c r="L11" s="1401"/>
    </row>
    <row r="12" spans="2:13" x14ac:dyDescent="0.25">
      <c r="B12" s="1096" t="s">
        <v>2</v>
      </c>
      <c r="C12" s="1097"/>
      <c r="D12" s="1097"/>
      <c r="E12" s="1400">
        <f>(E10-E11)*15%</f>
        <v>2538</v>
      </c>
      <c r="F12" s="1400"/>
      <c r="G12" s="1400">
        <f>(G10-G11)*15%</f>
        <v>10506.335999999998</v>
      </c>
      <c r="H12" s="1400"/>
      <c r="I12" s="1400">
        <f>(I10-I11)*15%</f>
        <v>1500</v>
      </c>
      <c r="J12" s="1400"/>
      <c r="K12" s="1400">
        <f>+K10*0.15</f>
        <v>7560</v>
      </c>
      <c r="L12" s="1401"/>
    </row>
    <row r="13" spans="2:13" ht="16.5" thickBot="1" x14ac:dyDescent="0.3">
      <c r="B13" s="1098" t="s">
        <v>3</v>
      </c>
      <c r="C13" s="1099"/>
      <c r="D13" s="1099"/>
      <c r="E13" s="1437">
        <f>(E10-E11)+E12</f>
        <v>19458</v>
      </c>
      <c r="F13" s="1437"/>
      <c r="G13" s="1437">
        <f>(G10-G11)+G12</f>
        <v>80548.575999999986</v>
      </c>
      <c r="H13" s="1437"/>
      <c r="I13" s="1437">
        <f>(I10-I11)+I12</f>
        <v>11500</v>
      </c>
      <c r="J13" s="1437"/>
      <c r="K13" s="1437">
        <f>(K10-K11)+K12</f>
        <v>57960</v>
      </c>
      <c r="L13" s="1438"/>
    </row>
    <row r="15" spans="2:13" x14ac:dyDescent="0.25">
      <c r="E15" s="1351"/>
      <c r="F15" s="1351"/>
      <c r="G15" s="40"/>
      <c r="H15" s="40"/>
      <c r="I15" s="1351"/>
      <c r="J15" s="1351"/>
      <c r="L15" s="40"/>
    </row>
    <row r="16" spans="2:13" x14ac:dyDescent="0.25">
      <c r="E16" s="1351"/>
      <c r="F16" s="1351"/>
      <c r="I16" s="1351"/>
      <c r="J16" s="1351"/>
    </row>
  </sheetData>
  <mergeCells count="28">
    <mergeCell ref="E15:F16"/>
    <mergeCell ref="I15:J16"/>
    <mergeCell ref="B12:D12"/>
    <mergeCell ref="E12:F12"/>
    <mergeCell ref="G12:H12"/>
    <mergeCell ref="I12:J12"/>
    <mergeCell ref="K12:L12"/>
    <mergeCell ref="B13:D13"/>
    <mergeCell ref="E13:F13"/>
    <mergeCell ref="G13:H13"/>
    <mergeCell ref="I13:J13"/>
    <mergeCell ref="K13:L13"/>
    <mergeCell ref="B10:D10"/>
    <mergeCell ref="E10:F10"/>
    <mergeCell ref="G10:H10"/>
    <mergeCell ref="I10:J10"/>
    <mergeCell ref="K10:L10"/>
    <mergeCell ref="B11:D11"/>
    <mergeCell ref="E11:F11"/>
    <mergeCell ref="G11:H11"/>
    <mergeCell ref="I11:J11"/>
    <mergeCell ref="K11:L11"/>
    <mergeCell ref="B3:L3"/>
    <mergeCell ref="B4:B5"/>
    <mergeCell ref="E4:F4"/>
    <mergeCell ref="G4:H4"/>
    <mergeCell ref="I4:J4"/>
    <mergeCell ref="K4:L4"/>
  </mergeCells>
  <conditionalFormatting sqref="F6:F7 H6:H9 L6:L9 F9">
    <cfRule type="expression" dxfId="58" priority="3">
      <formula>E6=""</formula>
    </cfRule>
    <cfRule type="expression" dxfId="57" priority="4">
      <formula>E6=MIN($E6,$G6,$K6)</formula>
    </cfRule>
  </conditionalFormatting>
  <conditionalFormatting sqref="J6:J9">
    <cfRule type="expression" dxfId="56" priority="1">
      <formula>I6=""</formula>
    </cfRule>
    <cfRule type="expression" dxfId="55" priority="2">
      <formula>I6=MIN($E6,$G6,$K6)</formula>
    </cfRule>
  </conditionalFormatting>
  <pageMargins left="0.25" right="0.25" top="0.75" bottom="0.75" header="0.3" footer="0.3"/>
  <pageSetup orientation="landscape" r:id="rId1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F803F-BA17-43E9-8570-FAA01FA3D2DF}">
  <sheetPr codeName="Hoja134"/>
  <dimension ref="A2:C11"/>
  <sheetViews>
    <sheetView topLeftCell="A4" workbookViewId="0">
      <selection activeCell="C7" sqref="C7"/>
    </sheetView>
  </sheetViews>
  <sheetFormatPr baseColWidth="10" defaultRowHeight="15" x14ac:dyDescent="0.25"/>
  <cols>
    <col min="1" max="1" width="17.5703125" style="12" bestFit="1" customWidth="1"/>
    <col min="2" max="2" width="37.28515625" style="12" bestFit="1" customWidth="1"/>
    <col min="3" max="3" width="45.140625" style="12" bestFit="1" customWidth="1"/>
    <col min="4" max="16384" width="11.42578125" style="12"/>
  </cols>
  <sheetData>
    <row r="2" spans="1:3" x14ac:dyDescent="0.25">
      <c r="A2" s="1636" t="s">
        <v>1</v>
      </c>
      <c r="B2" s="1636"/>
      <c r="C2" s="1636"/>
    </row>
    <row r="3" spans="1:3" x14ac:dyDescent="0.25">
      <c r="A3" s="959" t="s">
        <v>718</v>
      </c>
      <c r="B3" s="962" t="s">
        <v>228</v>
      </c>
      <c r="C3" s="962" t="s">
        <v>227</v>
      </c>
    </row>
    <row r="4" spans="1:3" ht="225" x14ac:dyDescent="0.25">
      <c r="A4" s="959" t="s">
        <v>719</v>
      </c>
      <c r="B4" s="958" t="s">
        <v>722</v>
      </c>
      <c r="C4" s="958" t="s">
        <v>723</v>
      </c>
    </row>
    <row r="5" spans="1:3" ht="30" x14ac:dyDescent="0.25">
      <c r="A5" s="961" t="s">
        <v>724</v>
      </c>
      <c r="B5" s="963" t="s">
        <v>726</v>
      </c>
      <c r="C5" s="963" t="s">
        <v>725</v>
      </c>
    </row>
    <row r="6" spans="1:3" x14ac:dyDescent="0.25">
      <c r="A6" s="959" t="s">
        <v>720</v>
      </c>
      <c r="B6" s="965">
        <v>1490</v>
      </c>
      <c r="C6" s="965">
        <v>1980</v>
      </c>
    </row>
    <row r="7" spans="1:3" x14ac:dyDescent="0.25">
      <c r="A7" s="959" t="s">
        <v>5</v>
      </c>
      <c r="B7" s="960" t="s">
        <v>727</v>
      </c>
      <c r="C7" s="968">
        <f>+C6*0.02</f>
        <v>39.6</v>
      </c>
    </row>
    <row r="8" spans="1:3" ht="30" x14ac:dyDescent="0.25">
      <c r="A8" s="961" t="s">
        <v>721</v>
      </c>
      <c r="B8" s="965">
        <f>+B6</f>
        <v>1490</v>
      </c>
      <c r="C8" s="965">
        <f>+C6-C7</f>
        <v>1940.4</v>
      </c>
    </row>
    <row r="9" spans="1:3" x14ac:dyDescent="0.25">
      <c r="A9" s="959" t="s">
        <v>2</v>
      </c>
      <c r="B9" s="966">
        <f>B8*0.15</f>
        <v>223.5</v>
      </c>
      <c r="C9" s="966">
        <f>C8*0.15</f>
        <v>291.06</v>
      </c>
    </row>
    <row r="10" spans="1:3" x14ac:dyDescent="0.25">
      <c r="A10" s="959" t="s">
        <v>733</v>
      </c>
      <c r="B10" s="965">
        <f>+B8+B9</f>
        <v>1713.5</v>
      </c>
      <c r="C10" s="965">
        <f>C8+C9</f>
        <v>2231.46</v>
      </c>
    </row>
    <row r="11" spans="1:3" ht="30" x14ac:dyDescent="0.25">
      <c r="A11" s="961" t="s">
        <v>734</v>
      </c>
      <c r="B11" s="967">
        <f>+B10*2</f>
        <v>3427</v>
      </c>
      <c r="C11" s="967">
        <f>+C10*2</f>
        <v>4462.92</v>
      </c>
    </row>
  </sheetData>
  <mergeCells count="1">
    <mergeCell ref="A2:C2"/>
  </mergeCells>
  <pageMargins left="0.25" right="0.25" top="0.75" bottom="0.75" header="0.3" footer="0.3"/>
  <pageSetup orientation="portrait" r:id="rId1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8E99E-9860-4813-9C48-44C2699D47C8}">
  <sheetPr codeName="Hoja135"/>
  <dimension ref="A2:L16"/>
  <sheetViews>
    <sheetView showGridLines="0" workbookViewId="0">
      <selection activeCell="C6" sqref="C6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6" width="12.85546875" style="34" bestFit="1" customWidth="1"/>
    <col min="7" max="7" width="14" style="34" bestFit="1" customWidth="1"/>
    <col min="8" max="11" width="12.85546875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2" spans="1:12" ht="16.5" thickBot="1" x14ac:dyDescent="0.3"/>
    <row r="3" spans="1:12" ht="16.5" thickBot="1" x14ac:dyDescent="0.3">
      <c r="A3" s="1100" t="s">
        <v>1</v>
      </c>
      <c r="B3" s="1101"/>
      <c r="C3" s="1101"/>
      <c r="D3" s="1101"/>
      <c r="E3" s="1101"/>
      <c r="F3" s="1101"/>
      <c r="G3" s="1101"/>
      <c r="H3" s="1101"/>
      <c r="I3" s="1101"/>
      <c r="J3" s="1101"/>
      <c r="K3" s="1102"/>
    </row>
    <row r="4" spans="1:12" x14ac:dyDescent="0.25">
      <c r="A4" s="1434" t="s">
        <v>6</v>
      </c>
      <c r="B4" s="505" t="s">
        <v>17</v>
      </c>
      <c r="C4" s="506" t="s">
        <v>735</v>
      </c>
      <c r="D4" s="1435" t="s">
        <v>732</v>
      </c>
      <c r="E4" s="1435"/>
      <c r="F4" s="1435" t="s">
        <v>731</v>
      </c>
      <c r="G4" s="1435"/>
      <c r="H4" s="1435" t="s">
        <v>141</v>
      </c>
      <c r="I4" s="1435"/>
      <c r="J4" s="1435" t="s">
        <v>53</v>
      </c>
      <c r="K4" s="1436"/>
    </row>
    <row r="5" spans="1:12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45" t="s">
        <v>10</v>
      </c>
      <c r="J5" s="45" t="s">
        <v>14</v>
      </c>
      <c r="K5" s="393" t="s">
        <v>10</v>
      </c>
    </row>
    <row r="6" spans="1:12" s="346" customFormat="1" x14ac:dyDescent="0.25">
      <c r="A6" s="964">
        <v>1</v>
      </c>
      <c r="B6" s="507">
        <v>8</v>
      </c>
      <c r="C6" s="508" t="s">
        <v>729</v>
      </c>
      <c r="D6" s="510">
        <f>1300*0.93</f>
        <v>1209</v>
      </c>
      <c r="E6" s="510">
        <f>+D6*$B6</f>
        <v>9672</v>
      </c>
      <c r="F6" s="510">
        <v>778.86</v>
      </c>
      <c r="G6" s="510">
        <f>+F6*$B6</f>
        <v>6230.88</v>
      </c>
      <c r="H6" s="510">
        <v>980</v>
      </c>
      <c r="I6" s="510">
        <f>+H6*B6</f>
        <v>7840</v>
      </c>
      <c r="J6" s="510">
        <f>(143.12/B6)*36.21</f>
        <v>647.79690000000005</v>
      </c>
      <c r="K6" s="511">
        <f>+J6*L6</f>
        <v>5182.3752000000004</v>
      </c>
      <c r="L6" s="351">
        <v>8</v>
      </c>
    </row>
    <row r="7" spans="1:12" s="346" customFormat="1" x14ac:dyDescent="0.25">
      <c r="A7" s="421">
        <v>2</v>
      </c>
      <c r="B7" s="647">
        <v>8</v>
      </c>
      <c r="C7" s="589" t="s">
        <v>730</v>
      </c>
      <c r="D7" s="648">
        <f>1250*0.93</f>
        <v>1162.5</v>
      </c>
      <c r="E7" s="648">
        <f t="shared" ref="E7" si="0">+D7*$B7</f>
        <v>9300</v>
      </c>
      <c r="F7" s="648">
        <v>705.31</v>
      </c>
      <c r="G7" s="648">
        <f t="shared" ref="G7:G9" si="1">+F7*$B7</f>
        <v>5642.48</v>
      </c>
      <c r="H7" s="648">
        <v>1170</v>
      </c>
      <c r="I7" s="648">
        <f>+H7*B7</f>
        <v>9360</v>
      </c>
      <c r="J7" s="648">
        <f>35.59*36.21</f>
        <v>1288.7139000000002</v>
      </c>
      <c r="K7" s="649">
        <f>+J7*L7</f>
        <v>1288.7139000000002</v>
      </c>
      <c r="L7" s="351">
        <v>1</v>
      </c>
    </row>
    <row r="8" spans="1:12" s="346" customFormat="1" x14ac:dyDescent="0.25">
      <c r="A8" s="421">
        <v>3</v>
      </c>
      <c r="B8" s="647">
        <v>6</v>
      </c>
      <c r="C8" s="589" t="s">
        <v>736</v>
      </c>
      <c r="D8" s="648">
        <f>620*0.93</f>
        <v>576.6</v>
      </c>
      <c r="E8" s="648">
        <f>+D8*B8</f>
        <v>3459.6000000000004</v>
      </c>
      <c r="F8" s="648">
        <v>737.06</v>
      </c>
      <c r="G8" s="648">
        <f t="shared" si="1"/>
        <v>4422.3599999999997</v>
      </c>
      <c r="H8" s="648">
        <v>562</v>
      </c>
      <c r="I8" s="648">
        <f>+H8*B8</f>
        <v>3372</v>
      </c>
      <c r="J8" s="648">
        <f>21.29*36.21</f>
        <v>770.91089999999997</v>
      </c>
      <c r="K8" s="649">
        <f>+J8*L8</f>
        <v>770.91089999999997</v>
      </c>
      <c r="L8" s="351">
        <v>1</v>
      </c>
    </row>
    <row r="9" spans="1:12" s="346" customFormat="1" ht="16.5" thickBot="1" x14ac:dyDescent="0.3">
      <c r="A9" s="401">
        <v>4</v>
      </c>
      <c r="B9" s="512">
        <v>6</v>
      </c>
      <c r="C9" s="513" t="s">
        <v>737</v>
      </c>
      <c r="D9" s="514">
        <f>1300*0.93</f>
        <v>1209</v>
      </c>
      <c r="E9" s="514">
        <f>+D9*B9</f>
        <v>7254</v>
      </c>
      <c r="F9" s="514">
        <v>1689.73</v>
      </c>
      <c r="G9" s="514">
        <f t="shared" si="1"/>
        <v>10138.380000000001</v>
      </c>
      <c r="H9" s="514">
        <v>1285</v>
      </c>
      <c r="I9" s="514">
        <f t="shared" ref="I9" si="2">+H9*$B9</f>
        <v>7710</v>
      </c>
      <c r="J9" s="648">
        <f>32.46*36.21</f>
        <v>1175.3766000000001</v>
      </c>
      <c r="K9" s="516">
        <f>+J9*L9</f>
        <v>4701.5064000000002</v>
      </c>
      <c r="L9" s="351">
        <v>4</v>
      </c>
    </row>
    <row r="10" spans="1:12" x14ac:dyDescent="0.25">
      <c r="A10" s="1094" t="s">
        <v>4</v>
      </c>
      <c r="B10" s="1095"/>
      <c r="C10" s="1095"/>
      <c r="D10" s="1399">
        <f>SUM(E6:E9)</f>
        <v>29685.599999999999</v>
      </c>
      <c r="E10" s="1399"/>
      <c r="F10" s="1399">
        <f>SUM(G6:G9)</f>
        <v>26434.100000000002</v>
      </c>
      <c r="G10" s="1399"/>
      <c r="H10" s="1399">
        <f>SUM(I6:I9)</f>
        <v>28282</v>
      </c>
      <c r="I10" s="1399"/>
      <c r="J10" s="1399">
        <f>SUM(K6:K9)</f>
        <v>11943.506400000002</v>
      </c>
      <c r="K10" s="1403"/>
    </row>
    <row r="11" spans="1:12" x14ac:dyDescent="0.25">
      <c r="A11" s="1096" t="s">
        <v>5</v>
      </c>
      <c r="B11" s="1097"/>
      <c r="C11" s="1097"/>
      <c r="D11" s="1573">
        <v>7.0000000000000007E-2</v>
      </c>
      <c r="E11" s="1573"/>
      <c r="F11" s="1400">
        <v>0</v>
      </c>
      <c r="G11" s="1400"/>
      <c r="H11" s="1400">
        <v>0</v>
      </c>
      <c r="I11" s="1400"/>
      <c r="J11" s="1400">
        <v>0</v>
      </c>
      <c r="K11" s="1401"/>
    </row>
    <row r="12" spans="1:12" x14ac:dyDescent="0.25">
      <c r="A12" s="1096" t="s">
        <v>2</v>
      </c>
      <c r="B12" s="1097"/>
      <c r="C12" s="1097"/>
      <c r="D12" s="1400">
        <f>(D10)*15%</f>
        <v>4452.8399999999992</v>
      </c>
      <c r="E12" s="1400"/>
      <c r="F12" s="1400">
        <f>(F10-F11)*15%</f>
        <v>3965.1150000000002</v>
      </c>
      <c r="G12" s="1400"/>
      <c r="H12" s="1400">
        <f>(H10-H11)*15%</f>
        <v>4242.3</v>
      </c>
      <c r="I12" s="1400"/>
      <c r="J12" s="1400">
        <f>+J10*0.15</f>
        <v>1791.5259600000002</v>
      </c>
      <c r="K12" s="1401"/>
    </row>
    <row r="13" spans="1:12" ht="16.5" thickBot="1" x14ac:dyDescent="0.3">
      <c r="A13" s="1098" t="s">
        <v>3</v>
      </c>
      <c r="B13" s="1099"/>
      <c r="C13" s="1099"/>
      <c r="D13" s="1437">
        <f>(D10)+D12</f>
        <v>34138.439999999995</v>
      </c>
      <c r="E13" s="1437"/>
      <c r="F13" s="1437">
        <f>(F10-F11)+F12</f>
        <v>30399.215000000004</v>
      </c>
      <c r="G13" s="1437"/>
      <c r="H13" s="1437">
        <f>(H10-H11)+H12</f>
        <v>32524.3</v>
      </c>
      <c r="I13" s="1437"/>
      <c r="J13" s="1437">
        <f>(J10-J11)+J12</f>
        <v>13735.032360000003</v>
      </c>
      <c r="K13" s="1438"/>
    </row>
    <row r="15" spans="1:12" x14ac:dyDescent="0.25">
      <c r="D15" s="1351"/>
      <c r="E15" s="1351"/>
      <c r="F15" s="40"/>
      <c r="G15" s="40"/>
      <c r="H15" s="1351"/>
      <c r="I15" s="1351"/>
      <c r="K15" s="40"/>
    </row>
    <row r="16" spans="1:12" x14ac:dyDescent="0.25">
      <c r="D16" s="1351"/>
      <c r="E16" s="1351"/>
      <c r="H16" s="1351"/>
      <c r="I16" s="1351"/>
    </row>
  </sheetData>
  <mergeCells count="28">
    <mergeCell ref="D15:E16"/>
    <mergeCell ref="H15:I16"/>
    <mergeCell ref="A12:C12"/>
    <mergeCell ref="D12:E12"/>
    <mergeCell ref="F12:G12"/>
    <mergeCell ref="H12:I12"/>
    <mergeCell ref="J12:K12"/>
    <mergeCell ref="A13:C13"/>
    <mergeCell ref="D13:E13"/>
    <mergeCell ref="F13:G13"/>
    <mergeCell ref="H13:I13"/>
    <mergeCell ref="J13:K13"/>
    <mergeCell ref="A10:C10"/>
    <mergeCell ref="D10:E10"/>
    <mergeCell ref="F10:G10"/>
    <mergeCell ref="H10:I10"/>
    <mergeCell ref="J10:K10"/>
    <mergeCell ref="A11:C11"/>
    <mergeCell ref="D11:E11"/>
    <mergeCell ref="F11:G11"/>
    <mergeCell ref="H11:I11"/>
    <mergeCell ref="J11:K11"/>
    <mergeCell ref="A3:K3"/>
    <mergeCell ref="A4:A5"/>
    <mergeCell ref="D4:E4"/>
    <mergeCell ref="F4:G4"/>
    <mergeCell ref="H4:I4"/>
    <mergeCell ref="J4:K4"/>
  </mergeCells>
  <conditionalFormatting sqref="E6:E7 G6:G9 K6:K9 E9">
    <cfRule type="expression" dxfId="54" priority="3">
      <formula>D6=""</formula>
    </cfRule>
    <cfRule type="expression" dxfId="53" priority="4">
      <formula>D6=MIN($D6,$F6,$J6)</formula>
    </cfRule>
  </conditionalFormatting>
  <conditionalFormatting sqref="I6:I9">
    <cfRule type="expression" dxfId="52" priority="1">
      <formula>H6=""</formula>
    </cfRule>
    <cfRule type="expression" dxfId="51" priority="2">
      <formula>H6=MIN($D6,$F6,$J6)</formula>
    </cfRule>
  </conditionalFormatting>
  <pageMargins left="0.25" right="0.25" top="0.75" bottom="0.75" header="0.3" footer="0.3"/>
  <pageSetup orientation="landscape" r:id="rId1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158D9-7627-4771-9DBF-8227AB35D7C1}">
  <sheetPr codeName="Hoja136"/>
  <dimension ref="A2:H16"/>
  <sheetViews>
    <sheetView showGridLines="0" workbookViewId="0">
      <selection activeCell="A3" sqref="A3:G3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7" width="12.85546875" style="34" bestFit="1" customWidth="1"/>
    <col min="8" max="8" width="19.5703125" style="970" bestFit="1" customWidth="1"/>
    <col min="9" max="9" width="13.42578125" style="34" bestFit="1" customWidth="1"/>
    <col min="10" max="16384" width="11.42578125" style="34"/>
  </cols>
  <sheetData>
    <row r="2" spans="1:8" ht="16.5" thickBot="1" x14ac:dyDescent="0.3"/>
    <row r="3" spans="1:8" ht="16.5" thickBot="1" x14ac:dyDescent="0.3">
      <c r="A3" s="1100" t="s">
        <v>1</v>
      </c>
      <c r="B3" s="1101"/>
      <c r="C3" s="1101"/>
      <c r="D3" s="1101"/>
      <c r="E3" s="1101"/>
      <c r="F3" s="1101"/>
      <c r="G3" s="1101"/>
    </row>
    <row r="4" spans="1:8" x14ac:dyDescent="0.25">
      <c r="A4" s="1434" t="s">
        <v>6</v>
      </c>
      <c r="B4" s="505" t="s">
        <v>17</v>
      </c>
      <c r="C4" s="506" t="s">
        <v>728</v>
      </c>
      <c r="D4" s="1435" t="s">
        <v>53</v>
      </c>
      <c r="E4" s="1435"/>
      <c r="F4" s="1435" t="s">
        <v>49</v>
      </c>
      <c r="G4" s="1435"/>
    </row>
    <row r="5" spans="1:8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</row>
    <row r="6" spans="1:8" s="346" customFormat="1" x14ac:dyDescent="0.25">
      <c r="A6" s="964">
        <v>1</v>
      </c>
      <c r="B6" s="507">
        <v>1</v>
      </c>
      <c r="C6" s="508" t="s">
        <v>738</v>
      </c>
      <c r="D6" s="510">
        <f>(87.08/B6)*36.21</f>
        <v>3153.1668</v>
      </c>
      <c r="E6" s="509">
        <f>+D6*$B6</f>
        <v>3153.1668</v>
      </c>
      <c r="F6" s="510">
        <v>5250</v>
      </c>
      <c r="G6" s="510">
        <f>+F6*$B6</f>
        <v>5250</v>
      </c>
      <c r="H6" s="351" t="s">
        <v>742</v>
      </c>
    </row>
    <row r="7" spans="1:8" s="346" customFormat="1" x14ac:dyDescent="0.25">
      <c r="A7" s="421">
        <v>2</v>
      </c>
      <c r="B7" s="647">
        <v>1</v>
      </c>
      <c r="C7" s="589" t="s">
        <v>739</v>
      </c>
      <c r="D7" s="510">
        <f>(40.34/B7)*36.21</f>
        <v>1460.7114000000001</v>
      </c>
      <c r="E7" s="510">
        <f t="shared" ref="E7" si="0">+D7*$B7</f>
        <v>1460.7114000000001</v>
      </c>
      <c r="F7" s="648">
        <v>1168.46</v>
      </c>
      <c r="G7" s="509">
        <f t="shared" ref="G7:G8" si="1">+F7*$B7</f>
        <v>1168.46</v>
      </c>
      <c r="H7" s="351" t="s">
        <v>744</v>
      </c>
    </row>
    <row r="8" spans="1:8" s="346" customFormat="1" ht="31.5" x14ac:dyDescent="0.25">
      <c r="A8" s="421">
        <v>3</v>
      </c>
      <c r="B8" s="647">
        <v>2</v>
      </c>
      <c r="C8" s="589" t="s">
        <v>740</v>
      </c>
      <c r="D8" s="510">
        <f>(84.26/B8)*36.21</f>
        <v>1525.5273000000002</v>
      </c>
      <c r="E8" s="510">
        <f>+D8*B8</f>
        <v>3051.0546000000004</v>
      </c>
      <c r="F8" s="648">
        <f>2244.28/B8</f>
        <v>1122.1400000000001</v>
      </c>
      <c r="G8" s="509">
        <f t="shared" si="1"/>
        <v>2244.2800000000002</v>
      </c>
      <c r="H8" s="351" t="s">
        <v>743</v>
      </c>
    </row>
    <row r="9" spans="1:8" s="346" customFormat="1" ht="16.5" thickBot="1" x14ac:dyDescent="0.3">
      <c r="A9" s="401">
        <v>4</v>
      </c>
      <c r="B9" s="512">
        <v>1</v>
      </c>
      <c r="C9" s="513" t="s">
        <v>741</v>
      </c>
      <c r="D9" s="510">
        <f>(14.94/B9)*36.21</f>
        <v>540.97739999999999</v>
      </c>
      <c r="E9" s="509">
        <f>+D9*B9</f>
        <v>540.97739999999999</v>
      </c>
      <c r="F9" s="514" t="s">
        <v>36</v>
      </c>
      <c r="G9" s="510" t="s">
        <v>36</v>
      </c>
      <c r="H9" s="351"/>
    </row>
    <row r="10" spans="1:8" x14ac:dyDescent="0.25">
      <c r="A10" s="1094" t="s">
        <v>4</v>
      </c>
      <c r="B10" s="1095"/>
      <c r="C10" s="1095"/>
      <c r="D10" s="1399">
        <f>SUM(E6:E9)</f>
        <v>8205.9102000000003</v>
      </c>
      <c r="E10" s="1399"/>
      <c r="F10" s="1399">
        <f>SUM(G6:G9)</f>
        <v>8662.74</v>
      </c>
      <c r="G10" s="1399"/>
    </row>
    <row r="11" spans="1:8" x14ac:dyDescent="0.25">
      <c r="A11" s="1096" t="s">
        <v>5</v>
      </c>
      <c r="B11" s="1097"/>
      <c r="C11" s="1097"/>
      <c r="D11" s="1573">
        <v>0.2</v>
      </c>
      <c r="E11" s="1573"/>
      <c r="F11" s="1400">
        <v>0</v>
      </c>
      <c r="G11" s="1400"/>
    </row>
    <row r="12" spans="1:8" x14ac:dyDescent="0.25">
      <c r="A12" s="1096" t="s">
        <v>2</v>
      </c>
      <c r="B12" s="1097"/>
      <c r="C12" s="1097"/>
      <c r="D12" s="1400">
        <f>(D10)*15%</f>
        <v>1230.88653</v>
      </c>
      <c r="E12" s="1400"/>
      <c r="F12" s="1400">
        <f>(F10-F11)*15%</f>
        <v>1299.4109999999998</v>
      </c>
      <c r="G12" s="1400"/>
    </row>
    <row r="13" spans="1:8" ht="16.5" thickBot="1" x14ac:dyDescent="0.3">
      <c r="A13" s="1098" t="s">
        <v>3</v>
      </c>
      <c r="B13" s="1099"/>
      <c r="C13" s="1099"/>
      <c r="D13" s="1437">
        <f>(D10)+D12</f>
        <v>9436.79673</v>
      </c>
      <c r="E13" s="1437"/>
      <c r="F13" s="1437">
        <f>(F10-F11)+F12</f>
        <v>9962.1509999999998</v>
      </c>
      <c r="G13" s="1437"/>
    </row>
    <row r="15" spans="1:8" x14ac:dyDescent="0.25">
      <c r="D15" s="1351"/>
      <c r="E15" s="1351"/>
      <c r="F15" s="40"/>
      <c r="G15" s="40"/>
    </row>
    <row r="16" spans="1:8" x14ac:dyDescent="0.25">
      <c r="D16" s="1351"/>
      <c r="E16" s="1351"/>
    </row>
  </sheetData>
  <mergeCells count="17">
    <mergeCell ref="A11:C11"/>
    <mergeCell ref="D11:E11"/>
    <mergeCell ref="F11:G11"/>
    <mergeCell ref="D15:E16"/>
    <mergeCell ref="A12:C12"/>
    <mergeCell ref="D12:E12"/>
    <mergeCell ref="F12:G12"/>
    <mergeCell ref="A13:C13"/>
    <mergeCell ref="D13:E13"/>
    <mergeCell ref="F13:G13"/>
    <mergeCell ref="A3:G3"/>
    <mergeCell ref="A4:A5"/>
    <mergeCell ref="D4:E4"/>
    <mergeCell ref="F4:G4"/>
    <mergeCell ref="A10:C10"/>
    <mergeCell ref="D10:E10"/>
    <mergeCell ref="F10:G10"/>
  </mergeCells>
  <conditionalFormatting sqref="G7:G8">
    <cfRule type="expression" dxfId="50" priority="1">
      <formula>$D7=MIN($D7,$F7)</formula>
    </cfRule>
  </conditionalFormatting>
  <pageMargins left="0.25" right="0.25" top="0.75" bottom="0.75" header="0.3" footer="0.3"/>
  <pageSetup orientation="landscape" r:id="rId1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AC5B5-2CE1-4F62-BBE5-5796B3107F2C}">
  <sheetPr codeName="Hoja137"/>
  <dimension ref="A2:L16"/>
  <sheetViews>
    <sheetView showGridLines="0" workbookViewId="0">
      <selection activeCell="J6" sqref="J6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4" width="11.140625" style="34" bestFit="1" customWidth="1"/>
    <col min="5" max="5" width="12.85546875" style="34" bestFit="1" customWidth="1"/>
    <col min="6" max="10" width="11.140625" style="34" bestFit="1" customWidth="1"/>
    <col min="11" max="11" width="12.85546875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2" spans="1:12" ht="16.5" thickBot="1" x14ac:dyDescent="0.3"/>
    <row r="3" spans="1:12" ht="16.5" thickBot="1" x14ac:dyDescent="0.3">
      <c r="A3" s="1100" t="s">
        <v>1</v>
      </c>
      <c r="B3" s="1101"/>
      <c r="C3" s="1101"/>
      <c r="D3" s="1101"/>
      <c r="E3" s="1101"/>
      <c r="F3" s="1101"/>
      <c r="G3" s="1101"/>
      <c r="H3" s="1101"/>
      <c r="I3" s="1101"/>
      <c r="J3" s="1101"/>
      <c r="K3" s="1102"/>
    </row>
    <row r="4" spans="1:12" x14ac:dyDescent="0.25">
      <c r="A4" s="1434" t="s">
        <v>6</v>
      </c>
      <c r="B4" s="505" t="s">
        <v>17</v>
      </c>
      <c r="C4" s="506" t="s">
        <v>745</v>
      </c>
      <c r="D4" s="1435" t="s">
        <v>53</v>
      </c>
      <c r="E4" s="1435"/>
      <c r="F4" s="1435" t="s">
        <v>52</v>
      </c>
      <c r="G4" s="1435"/>
      <c r="H4" s="1435" t="s">
        <v>51</v>
      </c>
      <c r="I4" s="1435"/>
      <c r="J4" s="1435" t="s">
        <v>49</v>
      </c>
      <c r="K4" s="1436"/>
    </row>
    <row r="5" spans="1:12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45" t="s">
        <v>10</v>
      </c>
      <c r="J5" s="45" t="s">
        <v>14</v>
      </c>
      <c r="K5" s="393" t="s">
        <v>10</v>
      </c>
    </row>
    <row r="6" spans="1:12" s="346" customFormat="1" x14ac:dyDescent="0.25">
      <c r="A6" s="969">
        <v>1</v>
      </c>
      <c r="B6" s="507">
        <v>8</v>
      </c>
      <c r="C6" s="508" t="s">
        <v>746</v>
      </c>
      <c r="D6" s="510">
        <f>(53.68/B6)*36.21</f>
        <v>242.9691</v>
      </c>
      <c r="E6" s="510">
        <f>+D6*$B6</f>
        <v>1943.7528</v>
      </c>
      <c r="F6" s="510" t="s">
        <v>36</v>
      </c>
      <c r="G6" s="510" t="s">
        <v>36</v>
      </c>
      <c r="H6" s="510" t="s">
        <v>36</v>
      </c>
      <c r="I6" s="510" t="s">
        <v>36</v>
      </c>
      <c r="J6" s="510">
        <f>1179.07/B6</f>
        <v>147.38374999999999</v>
      </c>
      <c r="K6" s="511">
        <f>+J6*B6</f>
        <v>1179.07</v>
      </c>
      <c r="L6" s="351"/>
    </row>
    <row r="7" spans="1:12" s="346" customFormat="1" x14ac:dyDescent="0.25">
      <c r="A7" s="421">
        <v>2</v>
      </c>
      <c r="B7" s="647">
        <v>9</v>
      </c>
      <c r="C7" s="589" t="s">
        <v>401</v>
      </c>
      <c r="D7" s="648">
        <f>((25+3.01)/B7)*36.21</f>
        <v>112.69356666666665</v>
      </c>
      <c r="E7" s="648">
        <f t="shared" ref="E7" si="0">+D7*$B7</f>
        <v>1014.2420999999999</v>
      </c>
      <c r="F7" s="648" t="s">
        <v>36</v>
      </c>
      <c r="G7" s="648" t="s">
        <v>36</v>
      </c>
      <c r="H7" s="648" t="s">
        <v>36</v>
      </c>
      <c r="I7" s="648" t="s">
        <v>36</v>
      </c>
      <c r="J7" s="648">
        <f>1152/B7</f>
        <v>128</v>
      </c>
      <c r="K7" s="649">
        <f>+J7*B7</f>
        <v>1152</v>
      </c>
      <c r="L7" s="351"/>
    </row>
    <row r="8" spans="1:12" s="346" customFormat="1" x14ac:dyDescent="0.25">
      <c r="A8" s="421">
        <v>3</v>
      </c>
      <c r="B8" s="647">
        <v>1</v>
      </c>
      <c r="C8" s="589" t="s">
        <v>399</v>
      </c>
      <c r="D8" s="648" t="s">
        <v>36</v>
      </c>
      <c r="E8" s="648" t="s">
        <v>36</v>
      </c>
      <c r="F8" s="648">
        <f>698.55*0.75</f>
        <v>523.91249999999991</v>
      </c>
      <c r="G8" s="648">
        <f t="shared" ref="G8:G9" si="1">+F8*$B8</f>
        <v>523.91249999999991</v>
      </c>
      <c r="H8" s="648">
        <v>280</v>
      </c>
      <c r="I8" s="648">
        <f>+H8*B8</f>
        <v>280</v>
      </c>
      <c r="J8" s="648">
        <v>203.83</v>
      </c>
      <c r="K8" s="649">
        <f>+J8*B8</f>
        <v>203.83</v>
      </c>
      <c r="L8" s="351"/>
    </row>
    <row r="9" spans="1:12" s="346" customFormat="1" ht="16.5" thickBot="1" x14ac:dyDescent="0.3">
      <c r="A9" s="401">
        <v>4</v>
      </c>
      <c r="B9" s="512">
        <v>1</v>
      </c>
      <c r="C9" s="513" t="s">
        <v>400</v>
      </c>
      <c r="D9" s="514" t="s">
        <v>36</v>
      </c>
      <c r="E9" s="514" t="s">
        <v>36</v>
      </c>
      <c r="F9" s="514">
        <f>772.43*0.75</f>
        <v>579.32249999999999</v>
      </c>
      <c r="G9" s="514">
        <f t="shared" si="1"/>
        <v>579.32249999999999</v>
      </c>
      <c r="H9" s="514">
        <v>270</v>
      </c>
      <c r="I9" s="514">
        <f t="shared" ref="I9" si="2">+H9*$B9</f>
        <v>270</v>
      </c>
      <c r="J9" s="648">
        <v>365.75</v>
      </c>
      <c r="K9" s="516">
        <f>+J9/B9</f>
        <v>365.75</v>
      </c>
      <c r="L9" s="351"/>
    </row>
    <row r="10" spans="1:12" x14ac:dyDescent="0.25">
      <c r="A10" s="1094" t="s">
        <v>4</v>
      </c>
      <c r="B10" s="1095"/>
      <c r="C10" s="1095"/>
      <c r="D10" s="1399">
        <f>SUM(E6:E9)</f>
        <v>2957.9948999999997</v>
      </c>
      <c r="E10" s="1399"/>
      <c r="F10" s="1399">
        <f>SUM(G6:G9)</f>
        <v>1103.2349999999999</v>
      </c>
      <c r="G10" s="1399"/>
      <c r="H10" s="1399">
        <f>SUM(I6:I9)</f>
        <v>550</v>
      </c>
      <c r="I10" s="1399"/>
      <c r="J10" s="1399">
        <f>SUM(K6:K9)</f>
        <v>2900.6499999999996</v>
      </c>
      <c r="K10" s="1403"/>
    </row>
    <row r="11" spans="1:12" x14ac:dyDescent="0.25">
      <c r="A11" s="1096" t="s">
        <v>5</v>
      </c>
      <c r="B11" s="1097"/>
      <c r="C11" s="1097"/>
      <c r="D11" s="1573">
        <v>0.3</v>
      </c>
      <c r="E11" s="1573"/>
      <c r="F11" s="1573">
        <v>0.25</v>
      </c>
      <c r="G11" s="1573"/>
      <c r="H11" s="1400">
        <v>0</v>
      </c>
      <c r="I11" s="1400"/>
      <c r="J11" s="1400">
        <v>0</v>
      </c>
      <c r="K11" s="1401"/>
    </row>
    <row r="12" spans="1:12" x14ac:dyDescent="0.25">
      <c r="A12" s="1096" t="s">
        <v>2</v>
      </c>
      <c r="B12" s="1097"/>
      <c r="C12" s="1097"/>
      <c r="D12" s="1400">
        <f>(D10)*15%</f>
        <v>443.69923499999993</v>
      </c>
      <c r="E12" s="1400"/>
      <c r="F12" s="1400">
        <f>(F10)*15%</f>
        <v>165.48524999999998</v>
      </c>
      <c r="G12" s="1400"/>
      <c r="H12" s="1400">
        <v>0</v>
      </c>
      <c r="I12" s="1400"/>
      <c r="J12" s="1400">
        <f>+J10*0.15</f>
        <v>435.09749999999991</v>
      </c>
      <c r="K12" s="1401"/>
    </row>
    <row r="13" spans="1:12" ht="16.5" thickBot="1" x14ac:dyDescent="0.3">
      <c r="A13" s="1098" t="s">
        <v>3</v>
      </c>
      <c r="B13" s="1099"/>
      <c r="C13" s="1099"/>
      <c r="D13" s="1437">
        <f>(D10)+D12</f>
        <v>3401.6941349999997</v>
      </c>
      <c r="E13" s="1437"/>
      <c r="F13" s="1437">
        <f>(F10)+F12</f>
        <v>1268.7202499999999</v>
      </c>
      <c r="G13" s="1437"/>
      <c r="H13" s="1437">
        <f>(H10-H11)+H12</f>
        <v>550</v>
      </c>
      <c r="I13" s="1437"/>
      <c r="J13" s="1437">
        <f>(J10-J11)+J12</f>
        <v>3335.7474999999995</v>
      </c>
      <c r="K13" s="1438"/>
    </row>
    <row r="15" spans="1:12" x14ac:dyDescent="0.25">
      <c r="D15" s="1351"/>
      <c r="E15" s="1351"/>
      <c r="F15" s="40"/>
      <c r="G15" s="40"/>
      <c r="H15" s="1351"/>
      <c r="I15" s="1351"/>
      <c r="K15" s="40"/>
    </row>
    <row r="16" spans="1:12" x14ac:dyDescent="0.25">
      <c r="D16" s="1351"/>
      <c r="E16" s="1351"/>
      <c r="H16" s="1351"/>
      <c r="I16" s="1351"/>
    </row>
  </sheetData>
  <mergeCells count="28">
    <mergeCell ref="A3:K3"/>
    <mergeCell ref="A4:A5"/>
    <mergeCell ref="D4:E4"/>
    <mergeCell ref="F4:G4"/>
    <mergeCell ref="H4:I4"/>
    <mergeCell ref="J4:K4"/>
    <mergeCell ref="A11:C11"/>
    <mergeCell ref="D11:E11"/>
    <mergeCell ref="F11:G11"/>
    <mergeCell ref="H11:I11"/>
    <mergeCell ref="J11:K11"/>
    <mergeCell ref="A10:C10"/>
    <mergeCell ref="D10:E10"/>
    <mergeCell ref="F10:G10"/>
    <mergeCell ref="H10:I10"/>
    <mergeCell ref="J10:K10"/>
    <mergeCell ref="J12:K12"/>
    <mergeCell ref="A13:C13"/>
    <mergeCell ref="D13:E13"/>
    <mergeCell ref="F13:G13"/>
    <mergeCell ref="H13:I13"/>
    <mergeCell ref="J13:K13"/>
    <mergeCell ref="D15:E16"/>
    <mergeCell ref="H15:I16"/>
    <mergeCell ref="A12:C12"/>
    <mergeCell ref="D12:E12"/>
    <mergeCell ref="F12:G12"/>
    <mergeCell ref="H12:I12"/>
  </mergeCells>
  <conditionalFormatting sqref="E6:E7 G6:G9 K6:K9 E9">
    <cfRule type="expression" dxfId="49" priority="3">
      <formula>D6=""</formula>
    </cfRule>
    <cfRule type="expression" dxfId="48" priority="4">
      <formula>D6=MIN($D6,$F6,$J6)</formula>
    </cfRule>
  </conditionalFormatting>
  <conditionalFormatting sqref="I6:I9">
    <cfRule type="expression" dxfId="47" priority="1">
      <formula>H6=""</formula>
    </cfRule>
    <cfRule type="expression" dxfId="46" priority="2">
      <formula>H6=MIN($D6,$F6,$J6)</formula>
    </cfRule>
  </conditionalFormatting>
  <pageMargins left="0.25" right="0.25" top="0.75" bottom="0.75" header="0.3" footer="0.3"/>
  <pageSetup orientation="landscape" r:id="rId1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5A412-924C-4178-ADBA-E1285DB86031}">
  <sheetPr codeName="Hoja138"/>
  <dimension ref="B2:M13"/>
  <sheetViews>
    <sheetView showGridLines="0" workbookViewId="0">
      <selection activeCell="G4" sqref="G4:H4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5" width="14.140625" style="2" bestFit="1" customWidth="1"/>
    <col min="6" max="6" width="15.42578125" style="2" bestFit="1" customWidth="1"/>
    <col min="7" max="9" width="14.140625" style="2" bestFit="1" customWidth="1"/>
    <col min="10" max="10" width="15.425781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3" ht="18" thickBot="1" x14ac:dyDescent="0.3"/>
    <row r="3" spans="2:13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3" ht="18" thickBot="1" x14ac:dyDescent="0.3">
      <c r="B4" s="1215" t="s">
        <v>6</v>
      </c>
      <c r="C4" s="29" t="s">
        <v>17</v>
      </c>
      <c r="D4" s="30" t="s">
        <v>599</v>
      </c>
      <c r="E4" s="1252" t="s">
        <v>72</v>
      </c>
      <c r="F4" s="1251"/>
      <c r="G4" s="1248" t="s">
        <v>748</v>
      </c>
      <c r="H4" s="1251"/>
      <c r="I4" s="1248" t="s">
        <v>413</v>
      </c>
      <c r="J4" s="1251"/>
    </row>
    <row r="5" spans="2:13" ht="18" thickBot="1" x14ac:dyDescent="0.3">
      <c r="B5" s="1216"/>
      <c r="C5" s="33" t="s">
        <v>11</v>
      </c>
      <c r="D5" s="21" t="s">
        <v>0</v>
      </c>
      <c r="E5" s="31" t="s">
        <v>14</v>
      </c>
      <c r="F5" s="971" t="s">
        <v>10</v>
      </c>
      <c r="G5" s="31" t="s">
        <v>14</v>
      </c>
      <c r="H5" s="971" t="s">
        <v>10</v>
      </c>
      <c r="I5" s="31" t="s">
        <v>14</v>
      </c>
      <c r="J5" s="32" t="s">
        <v>10</v>
      </c>
    </row>
    <row r="6" spans="2:13" s="157" customFormat="1" ht="35.25" thickBot="1" x14ac:dyDescent="0.3">
      <c r="B6" s="19">
        <v>1</v>
      </c>
      <c r="C6" s="158">
        <v>10</v>
      </c>
      <c r="D6" s="159" t="s">
        <v>751</v>
      </c>
      <c r="E6" s="160">
        <v>2900</v>
      </c>
      <c r="F6" s="210">
        <f>+E6*5</f>
        <v>14500</v>
      </c>
      <c r="G6" s="160">
        <f>1131.48*0.9</f>
        <v>1018.332</v>
      </c>
      <c r="H6" s="161">
        <f>+G6*5</f>
        <v>5091.66</v>
      </c>
      <c r="I6" s="160">
        <v>2200</v>
      </c>
      <c r="J6" s="162">
        <f>+I6*5</f>
        <v>11000</v>
      </c>
      <c r="K6" s="163"/>
    </row>
    <row r="7" spans="2:13" x14ac:dyDescent="0.25">
      <c r="B7" s="1217" t="s">
        <v>4</v>
      </c>
      <c r="C7" s="1218"/>
      <c r="D7" s="1219"/>
      <c r="E7" s="1245">
        <f>SUM(F6:F6)</f>
        <v>14500</v>
      </c>
      <c r="F7" s="1246"/>
      <c r="G7" s="1245">
        <f>SUM(H6:H6)</f>
        <v>5091.66</v>
      </c>
      <c r="H7" s="1246"/>
      <c r="I7" s="1245">
        <f>SUM(J6:J6)</f>
        <v>11000</v>
      </c>
      <c r="J7" s="1247"/>
    </row>
    <row r="8" spans="2:13" x14ac:dyDescent="0.25">
      <c r="B8" s="1205" t="s">
        <v>5</v>
      </c>
      <c r="C8" s="1206"/>
      <c r="D8" s="1207"/>
      <c r="E8" s="1242">
        <v>0</v>
      </c>
      <c r="F8" s="1243"/>
      <c r="G8" s="1283">
        <v>0.1</v>
      </c>
      <c r="H8" s="1284"/>
      <c r="I8" s="1242">
        <v>0</v>
      </c>
      <c r="J8" s="1244"/>
    </row>
    <row r="9" spans="2:13" x14ac:dyDescent="0.25">
      <c r="B9" s="1205" t="s">
        <v>2</v>
      </c>
      <c r="C9" s="1206"/>
      <c r="D9" s="1207"/>
      <c r="E9" s="1242">
        <f>(E7-E8)*15%</f>
        <v>2175</v>
      </c>
      <c r="F9" s="1243"/>
      <c r="G9" s="1242">
        <f>(G7)*15%</f>
        <v>763.74899999999991</v>
      </c>
      <c r="H9" s="1243"/>
      <c r="I9" s="1242">
        <f>(I7-I8)*15%</f>
        <v>1650</v>
      </c>
      <c r="J9" s="1244"/>
    </row>
    <row r="10" spans="2:13" ht="18" thickBot="1" x14ac:dyDescent="0.3">
      <c r="B10" s="1236" t="s">
        <v>3</v>
      </c>
      <c r="C10" s="1237"/>
      <c r="D10" s="1238"/>
      <c r="E10" s="1239">
        <f>(E7-E8)+E9</f>
        <v>16675</v>
      </c>
      <c r="F10" s="1240"/>
      <c r="G10" s="1239">
        <f>(G7)+G9</f>
        <v>5855.4089999999997</v>
      </c>
      <c r="H10" s="1240"/>
      <c r="I10" s="1239">
        <f>(I7-I8)+I9</f>
        <v>12650</v>
      </c>
      <c r="J10" s="1241"/>
      <c r="M10" s="973"/>
    </row>
    <row r="12" spans="2:13" x14ac:dyDescent="0.25">
      <c r="E12" s="303" t="s">
        <v>747</v>
      </c>
      <c r="F12" s="164"/>
      <c r="G12" s="974" t="s">
        <v>749</v>
      </c>
      <c r="H12" s="164"/>
      <c r="I12" s="164"/>
      <c r="J12" s="975" t="s">
        <v>750</v>
      </c>
    </row>
    <row r="13" spans="2:13" x14ac:dyDescent="0.25">
      <c r="H13" s="164"/>
      <c r="J13" s="164"/>
    </row>
  </sheetData>
  <mergeCells count="21"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  <mergeCell ref="I7:J7"/>
    <mergeCell ref="B3:J3"/>
    <mergeCell ref="B4:B5"/>
    <mergeCell ref="E4:F4"/>
    <mergeCell ref="G4:H4"/>
    <mergeCell ref="I4:J4"/>
  </mergeCells>
  <conditionalFormatting sqref="F6 J6 H6">
    <cfRule type="expression" dxfId="45" priority="1">
      <formula>E6=""</formula>
    </cfRule>
    <cfRule type="expression" dxfId="44" priority="2">
      <formula>E6=MIN($E6,$I6,#REF!)</formula>
    </cfRule>
  </conditionalFormatting>
  <pageMargins left="0.25" right="0.25" top="0.75" bottom="0.75" header="0.3" footer="0.3"/>
  <pageSetup orientation="landscape" r:id="rId1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FCDA9-CB59-4A0B-9A67-B100412BD8F5}">
  <sheetPr codeName="Hoja139"/>
  <dimension ref="B2:M13"/>
  <sheetViews>
    <sheetView showGridLines="0" workbookViewId="0">
      <selection activeCell="F6" sqref="F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5" width="14.140625" style="2" bestFit="1" customWidth="1"/>
    <col min="6" max="8" width="15.42578125" style="2" bestFit="1" customWidth="1"/>
    <col min="9" max="9" width="5.5703125" style="2" bestFit="1" customWidth="1"/>
    <col min="10" max="10" width="10.8554687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3" ht="18" thickBot="1" x14ac:dyDescent="0.3"/>
    <row r="3" spans="2:13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3" ht="18" thickBot="1" x14ac:dyDescent="0.3">
      <c r="B4" s="1215" t="s">
        <v>6</v>
      </c>
      <c r="C4" s="29" t="s">
        <v>17</v>
      </c>
      <c r="D4" s="30" t="s">
        <v>752</v>
      </c>
      <c r="E4" s="1252" t="s">
        <v>753</v>
      </c>
      <c r="F4" s="1251"/>
      <c r="G4" s="1248" t="s">
        <v>91</v>
      </c>
      <c r="H4" s="1251"/>
      <c r="I4" s="1248" t="s">
        <v>92</v>
      </c>
      <c r="J4" s="1251"/>
    </row>
    <row r="5" spans="2:13" ht="18" thickBot="1" x14ac:dyDescent="0.3">
      <c r="B5" s="1216"/>
      <c r="C5" s="33" t="s">
        <v>11</v>
      </c>
      <c r="D5" s="21" t="s">
        <v>0</v>
      </c>
      <c r="E5" s="31" t="s">
        <v>14</v>
      </c>
      <c r="F5" s="972" t="s">
        <v>10</v>
      </c>
      <c r="G5" s="31" t="s">
        <v>14</v>
      </c>
      <c r="H5" s="972" t="s">
        <v>10</v>
      </c>
      <c r="I5" s="31" t="s">
        <v>14</v>
      </c>
      <c r="J5" s="32" t="s">
        <v>10</v>
      </c>
    </row>
    <row r="6" spans="2:13" s="157" customFormat="1" ht="18" thickBot="1" x14ac:dyDescent="0.3">
      <c r="B6" s="19">
        <v>1</v>
      </c>
      <c r="C6" s="158">
        <v>2</v>
      </c>
      <c r="D6" s="159" t="s">
        <v>90</v>
      </c>
      <c r="E6" s="160">
        <v>9500</v>
      </c>
      <c r="F6" s="161">
        <f>+E6*C6</f>
        <v>19000</v>
      </c>
      <c r="G6" s="160">
        <v>11000</v>
      </c>
      <c r="H6" s="161">
        <f>+G6*C6</f>
        <v>22000</v>
      </c>
      <c r="I6" s="1637" t="s">
        <v>754</v>
      </c>
      <c r="J6" s="1638"/>
      <c r="K6" s="163"/>
    </row>
    <row r="7" spans="2:13" x14ac:dyDescent="0.25">
      <c r="B7" s="1217" t="s">
        <v>4</v>
      </c>
      <c r="C7" s="1218"/>
      <c r="D7" s="1219"/>
      <c r="E7" s="1245">
        <f>SUM(F6:F6)</f>
        <v>19000</v>
      </c>
      <c r="F7" s="1246"/>
      <c r="G7" s="1245">
        <f>SUM(H6:H6)</f>
        <v>22000</v>
      </c>
      <c r="H7" s="1246"/>
      <c r="I7" s="1245"/>
      <c r="J7" s="1247"/>
    </row>
    <row r="8" spans="2:13" x14ac:dyDescent="0.25">
      <c r="B8" s="1205" t="s">
        <v>5</v>
      </c>
      <c r="C8" s="1206"/>
      <c r="D8" s="1207"/>
      <c r="E8" s="1242">
        <v>0</v>
      </c>
      <c r="F8" s="1243"/>
      <c r="G8" s="1283">
        <v>0</v>
      </c>
      <c r="H8" s="1284"/>
      <c r="I8" s="1242"/>
      <c r="J8" s="1244"/>
    </row>
    <row r="9" spans="2:13" x14ac:dyDescent="0.25">
      <c r="B9" s="1205" t="s">
        <v>2</v>
      </c>
      <c r="C9" s="1206"/>
      <c r="D9" s="1207"/>
      <c r="E9" s="1242">
        <v>0</v>
      </c>
      <c r="F9" s="1243"/>
      <c r="G9" s="1242">
        <v>0</v>
      </c>
      <c r="H9" s="1243"/>
      <c r="I9" s="1242"/>
      <c r="J9" s="1244"/>
    </row>
    <row r="10" spans="2:13" ht="18" thickBot="1" x14ac:dyDescent="0.3">
      <c r="B10" s="1236" t="s">
        <v>3</v>
      </c>
      <c r="C10" s="1237"/>
      <c r="D10" s="1238"/>
      <c r="E10" s="1239">
        <f>(E7-E8)+E9</f>
        <v>19000</v>
      </c>
      <c r="F10" s="1240"/>
      <c r="G10" s="1239">
        <f>(G7)+G9</f>
        <v>22000</v>
      </c>
      <c r="H10" s="1240"/>
      <c r="I10" s="1239"/>
      <c r="J10" s="1241"/>
      <c r="M10" s="973"/>
    </row>
    <row r="12" spans="2:13" x14ac:dyDescent="0.25">
      <c r="E12" s="303"/>
      <c r="F12" s="164"/>
      <c r="G12" s="974"/>
      <c r="H12" s="164"/>
      <c r="I12" s="164"/>
      <c r="J12" s="975"/>
    </row>
    <row r="13" spans="2:13" x14ac:dyDescent="0.25">
      <c r="H13" s="164"/>
      <c r="J13" s="164"/>
    </row>
  </sheetData>
  <mergeCells count="22">
    <mergeCell ref="I7:J7"/>
    <mergeCell ref="B3:J3"/>
    <mergeCell ref="B4:B5"/>
    <mergeCell ref="E4:F4"/>
    <mergeCell ref="G4:H4"/>
    <mergeCell ref="I4:J4"/>
    <mergeCell ref="B10:D10"/>
    <mergeCell ref="E10:F10"/>
    <mergeCell ref="G10:H10"/>
    <mergeCell ref="I10:J10"/>
    <mergeCell ref="I6:J6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</mergeCells>
  <pageMargins left="0.25" right="0.25" top="0.75" bottom="0.75" header="0.3" footer="0.3"/>
  <pageSetup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C640-C6B2-4B2A-A045-B6D62D78275C}">
  <sheetPr codeName="Hoja14"/>
  <dimension ref="B1:L24"/>
  <sheetViews>
    <sheetView showGridLines="0" workbookViewId="0"/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85546875" style="2" bestFit="1" customWidth="1"/>
    <col min="5" max="7" width="15.42578125" style="2" bestFit="1" customWidth="1"/>
    <col min="8" max="9" width="14.140625" style="2" bestFit="1" customWidth="1"/>
    <col min="10" max="10" width="12.28515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1" spans="2:12" ht="18" thickBot="1" x14ac:dyDescent="0.3"/>
    <row r="2" spans="2:12" ht="18" thickBot="1" x14ac:dyDescent="0.3">
      <c r="B2" s="1248" t="s">
        <v>1</v>
      </c>
      <c r="C2" s="1250"/>
      <c r="D2" s="1250"/>
      <c r="E2" s="1250"/>
      <c r="F2" s="1250"/>
      <c r="G2" s="1250"/>
      <c r="H2" s="1250"/>
      <c r="I2" s="1251"/>
      <c r="J2" s="6"/>
      <c r="K2" s="2"/>
    </row>
    <row r="3" spans="2:12" x14ac:dyDescent="0.25">
      <c r="B3" s="1277" t="s">
        <v>6</v>
      </c>
      <c r="C3" s="199" t="s">
        <v>17</v>
      </c>
      <c r="D3" s="200" t="s">
        <v>116</v>
      </c>
      <c r="E3" s="201" t="s">
        <v>29</v>
      </c>
      <c r="F3" s="201" t="s">
        <v>118</v>
      </c>
      <c r="G3" s="201" t="s">
        <v>31</v>
      </c>
      <c r="H3" s="201" t="s">
        <v>119</v>
      </c>
      <c r="I3" s="202" t="s">
        <v>120</v>
      </c>
      <c r="J3" s="6"/>
      <c r="K3" s="2"/>
    </row>
    <row r="4" spans="2:12" ht="18" thickBot="1" x14ac:dyDescent="0.3">
      <c r="B4" s="1278"/>
      <c r="C4" s="203" t="s">
        <v>11</v>
      </c>
      <c r="D4" s="204" t="s">
        <v>0</v>
      </c>
      <c r="E4" s="204" t="s">
        <v>14</v>
      </c>
      <c r="F4" s="204" t="s">
        <v>14</v>
      </c>
      <c r="G4" s="204" t="s">
        <v>14</v>
      </c>
      <c r="H4" s="204" t="s">
        <v>14</v>
      </c>
      <c r="I4" s="205" t="s">
        <v>14</v>
      </c>
      <c r="J4" s="6"/>
      <c r="K4" s="2"/>
    </row>
    <row r="5" spans="2:12" s="157" customFormat="1" ht="18" thickBot="1" x14ac:dyDescent="0.3">
      <c r="B5" s="206">
        <v>1</v>
      </c>
      <c r="C5" s="207">
        <v>1</v>
      </c>
      <c r="D5" s="208" t="s">
        <v>117</v>
      </c>
      <c r="E5" s="181">
        <f>269.565*TC!C3</f>
        <v>9622.0687620000008</v>
      </c>
      <c r="F5" s="181">
        <v>8840.73</v>
      </c>
      <c r="G5" s="181">
        <v>11122.52</v>
      </c>
      <c r="H5" s="211">
        <v>8281</v>
      </c>
      <c r="I5" s="182">
        <f>239.365*TC!C3</f>
        <v>8544.0858019999996</v>
      </c>
      <c r="J5" s="163"/>
      <c r="K5" s="219"/>
    </row>
    <row r="6" spans="2:12" x14ac:dyDescent="0.25">
      <c r="B6" s="1217" t="s">
        <v>4</v>
      </c>
      <c r="C6" s="1218"/>
      <c r="D6" s="1218"/>
      <c r="E6" s="183">
        <f>+E5</f>
        <v>9622.0687620000008</v>
      </c>
      <c r="F6" s="183">
        <f>+F5</f>
        <v>8840.73</v>
      </c>
      <c r="G6" s="183">
        <f>+G5</f>
        <v>11122.52</v>
      </c>
      <c r="H6" s="183">
        <f>+H5</f>
        <v>8281</v>
      </c>
      <c r="I6" s="184">
        <f>+I5</f>
        <v>8544.0858019999996</v>
      </c>
      <c r="J6" s="6"/>
      <c r="K6" s="2"/>
    </row>
    <row r="7" spans="2:12" x14ac:dyDescent="0.25">
      <c r="B7" s="1205" t="s">
        <v>2</v>
      </c>
      <c r="C7" s="1206"/>
      <c r="D7" s="1206"/>
      <c r="E7" s="175">
        <f>(E6)*15%</f>
        <v>1443.3103143000001</v>
      </c>
      <c r="F7" s="175">
        <f t="shared" ref="F7:I7" si="0">(F6)*15%</f>
        <v>1326.1094999999998</v>
      </c>
      <c r="G7" s="175">
        <f t="shared" si="0"/>
        <v>1668.3779999999999</v>
      </c>
      <c r="H7" s="175">
        <f t="shared" si="0"/>
        <v>1242.1499999999999</v>
      </c>
      <c r="I7" s="176">
        <f t="shared" si="0"/>
        <v>1281.6128702999999</v>
      </c>
      <c r="J7" s="6"/>
      <c r="K7" s="2"/>
    </row>
    <row r="8" spans="2:12" ht="18" thickBot="1" x14ac:dyDescent="0.3">
      <c r="B8" s="1236" t="s">
        <v>3</v>
      </c>
      <c r="C8" s="1237"/>
      <c r="D8" s="1237"/>
      <c r="E8" s="177">
        <f>(E6)+E7</f>
        <v>11065.379076300002</v>
      </c>
      <c r="F8" s="177">
        <f>(F6)+F7</f>
        <v>10166.8395</v>
      </c>
      <c r="G8" s="177">
        <f>(G6)+G7</f>
        <v>12790.898000000001</v>
      </c>
      <c r="H8" s="212">
        <f>(H6)+H7</f>
        <v>9523.15</v>
      </c>
      <c r="I8" s="198">
        <f>(I6)+I7</f>
        <v>9825.6986722999991</v>
      </c>
      <c r="J8" s="6"/>
      <c r="K8" s="2"/>
    </row>
    <row r="9" spans="2:12" ht="18" thickBot="1" x14ac:dyDescent="0.3"/>
    <row r="10" spans="2:12" ht="18" thickBot="1" x14ac:dyDescent="0.3">
      <c r="B10" s="1215" t="s">
        <v>6</v>
      </c>
      <c r="C10" s="29" t="s">
        <v>17</v>
      </c>
      <c r="D10" s="30" t="s">
        <v>116</v>
      </c>
      <c r="E10" s="1252" t="s">
        <v>123</v>
      </c>
      <c r="F10" s="1251"/>
      <c r="G10" s="1248" t="s">
        <v>67</v>
      </c>
      <c r="H10" s="1251"/>
      <c r="I10" s="1248" t="s">
        <v>66</v>
      </c>
      <c r="J10" s="1251"/>
    </row>
    <row r="11" spans="2:12" ht="18" thickBot="1" x14ac:dyDescent="0.3">
      <c r="B11" s="1216"/>
      <c r="C11" s="33" t="s">
        <v>11</v>
      </c>
      <c r="D11" s="21" t="s">
        <v>0</v>
      </c>
      <c r="E11" s="31" t="s">
        <v>14</v>
      </c>
      <c r="F11" s="197" t="s">
        <v>10</v>
      </c>
      <c r="G11" s="31" t="s">
        <v>14</v>
      </c>
      <c r="H11" s="197" t="s">
        <v>10</v>
      </c>
      <c r="I11" s="31" t="s">
        <v>14</v>
      </c>
      <c r="J11" s="32" t="s">
        <v>10</v>
      </c>
      <c r="L11" s="209"/>
    </row>
    <row r="12" spans="2:12" x14ac:dyDescent="0.25">
      <c r="B12" s="19">
        <v>1</v>
      </c>
      <c r="C12" s="158">
        <v>4</v>
      </c>
      <c r="D12" s="159" t="s">
        <v>121</v>
      </c>
      <c r="E12" s="160">
        <v>62.18</v>
      </c>
      <c r="F12" s="161">
        <f>+E12*C12</f>
        <v>248.72</v>
      </c>
      <c r="G12" s="160">
        <v>51.965699999999998</v>
      </c>
      <c r="H12" s="210">
        <f>+G12*C12</f>
        <v>207.86279999999999</v>
      </c>
      <c r="I12" s="160">
        <v>85</v>
      </c>
      <c r="J12" s="162">
        <f>+I12*C12</f>
        <v>340</v>
      </c>
      <c r="L12" s="209"/>
    </row>
    <row r="13" spans="2:12" ht="35.25" thickBot="1" x14ac:dyDescent="0.3">
      <c r="B13" s="20">
        <v>2</v>
      </c>
      <c r="C13" s="169">
        <v>100</v>
      </c>
      <c r="D13" s="170" t="s">
        <v>122</v>
      </c>
      <c r="E13" s="171">
        <f>31.6/C13</f>
        <v>0.316</v>
      </c>
      <c r="F13" s="161">
        <f>+E13*C13</f>
        <v>31.6</v>
      </c>
      <c r="G13" s="171">
        <f>49.6613/100</f>
        <v>0.49661299999999997</v>
      </c>
      <c r="H13" s="161">
        <f>+G13*C13</f>
        <v>49.661299999999997</v>
      </c>
      <c r="I13" s="171">
        <v>1.3</v>
      </c>
      <c r="J13" s="220">
        <f t="shared" ref="J13" si="1">+I13*C13</f>
        <v>130</v>
      </c>
      <c r="L13" s="209"/>
    </row>
    <row r="14" spans="2:12" x14ac:dyDescent="0.25">
      <c r="B14" s="1217" t="s">
        <v>4</v>
      </c>
      <c r="C14" s="1218"/>
      <c r="D14" s="1219"/>
      <c r="E14" s="1245">
        <f>SUM(F12:F13)</f>
        <v>280.32</v>
      </c>
      <c r="F14" s="1246"/>
      <c r="G14" s="1245">
        <f>SUM(H12:H13)</f>
        <v>257.52409999999998</v>
      </c>
      <c r="H14" s="1246"/>
      <c r="I14" s="1245">
        <f>SUM(J12:J13)</f>
        <v>470</v>
      </c>
      <c r="J14" s="1247"/>
    </row>
    <row r="15" spans="2:12" x14ac:dyDescent="0.25">
      <c r="B15" s="1205" t="s">
        <v>2</v>
      </c>
      <c r="C15" s="1206"/>
      <c r="D15" s="1207"/>
      <c r="E15" s="1242">
        <f>(E14)*15%</f>
        <v>42.047999999999995</v>
      </c>
      <c r="F15" s="1243"/>
      <c r="G15" s="1242">
        <f t="shared" ref="G15" si="2">(G14)*15%</f>
        <v>38.628614999999996</v>
      </c>
      <c r="H15" s="1243"/>
      <c r="I15" s="1242"/>
      <c r="J15" s="1244"/>
    </row>
    <row r="16" spans="2:12" ht="18" thickBot="1" x14ac:dyDescent="0.3">
      <c r="B16" s="1236" t="s">
        <v>3</v>
      </c>
      <c r="C16" s="1237"/>
      <c r="D16" s="1238"/>
      <c r="E16" s="1239">
        <f>(E14)+E15</f>
        <v>322.36799999999999</v>
      </c>
      <c r="F16" s="1240"/>
      <c r="G16" s="1239">
        <f>(G14)+G15</f>
        <v>296.15271499999994</v>
      </c>
      <c r="H16" s="1240"/>
      <c r="I16" s="1239">
        <f>(I14)+I15</f>
        <v>470</v>
      </c>
      <c r="J16" s="1241"/>
    </row>
    <row r="17" spans="2:11" ht="18" customHeight="1" thickBot="1" x14ac:dyDescent="0.3">
      <c r="I17" s="1281" t="s">
        <v>128</v>
      </c>
      <c r="J17" s="1281"/>
    </row>
    <row r="18" spans="2:11" ht="18" thickBot="1" x14ac:dyDescent="0.3">
      <c r="B18" s="1215" t="s">
        <v>6</v>
      </c>
      <c r="C18" s="29" t="s">
        <v>17</v>
      </c>
      <c r="D18" s="30" t="s">
        <v>116</v>
      </c>
      <c r="E18" s="1248" t="s">
        <v>126</v>
      </c>
      <c r="F18" s="1251"/>
      <c r="G18" s="1248" t="s">
        <v>127</v>
      </c>
      <c r="H18" s="1251"/>
      <c r="I18" s="1282"/>
      <c r="J18" s="1282"/>
      <c r="K18" s="2"/>
    </row>
    <row r="19" spans="2:11" ht="18" thickBot="1" x14ac:dyDescent="0.3">
      <c r="B19" s="1216"/>
      <c r="C19" s="33" t="s">
        <v>11</v>
      </c>
      <c r="D19" s="178" t="s">
        <v>0</v>
      </c>
      <c r="E19" s="217" t="s">
        <v>14</v>
      </c>
      <c r="F19" s="32" t="s">
        <v>10</v>
      </c>
      <c r="G19" s="217" t="s">
        <v>14</v>
      </c>
      <c r="H19" s="32" t="s">
        <v>10</v>
      </c>
      <c r="I19" s="1282"/>
      <c r="J19" s="1282"/>
      <c r="K19" s="2"/>
    </row>
    <row r="20" spans="2:11" ht="34.5" x14ac:dyDescent="0.25">
      <c r="B20" s="19">
        <v>1</v>
      </c>
      <c r="C20" s="158">
        <v>4</v>
      </c>
      <c r="D20" s="215" t="s">
        <v>124</v>
      </c>
      <c r="E20" s="213">
        <f>27.75*TC!C3</f>
        <v>990.53070000000002</v>
      </c>
      <c r="F20" s="210">
        <f>+E20*C20</f>
        <v>3962.1228000000001</v>
      </c>
      <c r="G20" s="160">
        <f>45*TC!C3</f>
        <v>1606.2660000000001</v>
      </c>
      <c r="H20" s="162">
        <f>+G20*C20</f>
        <v>6425.0640000000003</v>
      </c>
      <c r="I20" s="6"/>
      <c r="K20" s="2"/>
    </row>
    <row r="21" spans="2:11" ht="35.25" thickBot="1" x14ac:dyDescent="0.3">
      <c r="B21" s="20">
        <v>2</v>
      </c>
      <c r="C21" s="169">
        <v>4</v>
      </c>
      <c r="D21" s="216" t="s">
        <v>125</v>
      </c>
      <c r="E21" s="214">
        <f>13.32*TC!C3</f>
        <v>475.45473600000003</v>
      </c>
      <c r="F21" s="210">
        <f>+E21*C21</f>
        <v>1901.8189440000001</v>
      </c>
      <c r="G21" s="171">
        <f>41*TC!C3</f>
        <v>1463.4868000000001</v>
      </c>
      <c r="H21" s="162">
        <f t="shared" ref="H21" si="3">+G21*C21</f>
        <v>5853.9472000000005</v>
      </c>
      <c r="I21" s="6"/>
      <c r="K21" s="2"/>
    </row>
    <row r="22" spans="2:11" x14ac:dyDescent="0.25">
      <c r="B22" s="1217" t="s">
        <v>4</v>
      </c>
      <c r="C22" s="1218"/>
      <c r="D22" s="1275"/>
      <c r="E22" s="1276">
        <f>SUM(F20:F21)</f>
        <v>5863.9417439999997</v>
      </c>
      <c r="F22" s="1246"/>
      <c r="G22" s="1245">
        <f>SUM(H20:H21)</f>
        <v>12279.011200000001</v>
      </c>
      <c r="H22" s="1247"/>
      <c r="I22" s="6"/>
      <c r="K22" s="2"/>
    </row>
    <row r="23" spans="2:11" x14ac:dyDescent="0.25">
      <c r="B23" s="1205" t="s">
        <v>2</v>
      </c>
      <c r="C23" s="1206"/>
      <c r="D23" s="1273"/>
      <c r="E23" s="1274">
        <f>(E22)*15%</f>
        <v>879.59126159999994</v>
      </c>
      <c r="F23" s="1243"/>
      <c r="G23" s="1242">
        <f>(G22)*15%</f>
        <v>1841.85168</v>
      </c>
      <c r="H23" s="1244"/>
      <c r="I23" s="6"/>
      <c r="K23" s="2"/>
    </row>
    <row r="24" spans="2:11" ht="18" thickBot="1" x14ac:dyDescent="0.3">
      <c r="B24" s="1236" t="s">
        <v>3</v>
      </c>
      <c r="C24" s="1237"/>
      <c r="D24" s="1279"/>
      <c r="E24" s="1280">
        <f>(E22)+E23</f>
        <v>6743.5330055999993</v>
      </c>
      <c r="F24" s="1240"/>
      <c r="G24" s="1239">
        <f>(G22)+G23</f>
        <v>14120.862880000001</v>
      </c>
      <c r="H24" s="1241"/>
      <c r="I24" s="6"/>
      <c r="K24" s="2"/>
    </row>
  </sheetData>
  <mergeCells count="34">
    <mergeCell ref="B6:D6"/>
    <mergeCell ref="B8:D8"/>
    <mergeCell ref="B10:B11"/>
    <mergeCell ref="E10:F10"/>
    <mergeCell ref="G10:H10"/>
    <mergeCell ref="B24:D24"/>
    <mergeCell ref="E24:F24"/>
    <mergeCell ref="G24:H24"/>
    <mergeCell ref="I17:J19"/>
    <mergeCell ref="B7:D7"/>
    <mergeCell ref="I10:J10"/>
    <mergeCell ref="B14:D14"/>
    <mergeCell ref="E14:F14"/>
    <mergeCell ref="G14:H14"/>
    <mergeCell ref="I14:J14"/>
    <mergeCell ref="I15:J15"/>
    <mergeCell ref="B16:D16"/>
    <mergeCell ref="E16:F16"/>
    <mergeCell ref="B2:I2"/>
    <mergeCell ref="B23:D23"/>
    <mergeCell ref="E23:F23"/>
    <mergeCell ref="G23:H23"/>
    <mergeCell ref="B18:B19"/>
    <mergeCell ref="E18:F18"/>
    <mergeCell ref="G18:H18"/>
    <mergeCell ref="B22:D22"/>
    <mergeCell ref="E22:F22"/>
    <mergeCell ref="G22:H22"/>
    <mergeCell ref="B15:D15"/>
    <mergeCell ref="E15:F15"/>
    <mergeCell ref="G15:H15"/>
    <mergeCell ref="G16:H16"/>
    <mergeCell ref="I16:J16"/>
    <mergeCell ref="B3:B4"/>
  </mergeCells>
  <pageMargins left="0.25" right="0.25" top="0.75" bottom="0.75" header="0.3" footer="0.3"/>
  <pageSetup orientation="landscape" r:id="rId1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DE99D7-9557-45A0-9163-231B2E89A81B}">
  <sheetPr codeName="Hoja140"/>
  <dimension ref="B2:K13"/>
  <sheetViews>
    <sheetView showGridLines="0" workbookViewId="0">
      <selection activeCell="D6" sqref="D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8" width="10.85546875" style="2" bestFit="1" customWidth="1"/>
    <col min="9" max="9" width="13.42578125" style="6" bestFit="1" customWidth="1"/>
    <col min="10" max="10" width="13.42578125" style="2" bestFit="1" customWidth="1"/>
    <col min="11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11" ht="18" thickBot="1" x14ac:dyDescent="0.3">
      <c r="B4" s="1215" t="s">
        <v>6</v>
      </c>
      <c r="C4" s="29" t="s">
        <v>17</v>
      </c>
      <c r="D4" s="30" t="s">
        <v>752</v>
      </c>
      <c r="E4" s="1252" t="s">
        <v>667</v>
      </c>
      <c r="F4" s="1251"/>
      <c r="G4" s="1248" t="s">
        <v>227</v>
      </c>
      <c r="H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972" t="s">
        <v>10</v>
      </c>
      <c r="G5" s="31" t="s">
        <v>14</v>
      </c>
      <c r="H5" s="32" t="s">
        <v>10</v>
      </c>
    </row>
    <row r="6" spans="2:11" s="157" customFormat="1" ht="18" thickBot="1" x14ac:dyDescent="0.3">
      <c r="B6" s="19">
        <v>1</v>
      </c>
      <c r="C6" s="158">
        <v>2</v>
      </c>
      <c r="D6" s="159" t="s">
        <v>755</v>
      </c>
      <c r="E6" s="976">
        <v>377.47</v>
      </c>
      <c r="F6" s="977">
        <f>+E6*C6</f>
        <v>754.94</v>
      </c>
      <c r="G6" s="976">
        <v>380</v>
      </c>
      <c r="H6" s="978">
        <f>+G6*C6</f>
        <v>760</v>
      </c>
      <c r="I6" s="163"/>
    </row>
    <row r="7" spans="2:11" x14ac:dyDescent="0.25">
      <c r="B7" s="1217" t="s">
        <v>4</v>
      </c>
      <c r="C7" s="1218"/>
      <c r="D7" s="1219"/>
      <c r="E7" s="1472">
        <f>SUM(F6:F6)</f>
        <v>754.94</v>
      </c>
      <c r="F7" s="1473"/>
      <c r="G7" s="1472">
        <f>SUM(H6:H6)</f>
        <v>760</v>
      </c>
      <c r="H7" s="1474"/>
    </row>
    <row r="8" spans="2:11" x14ac:dyDescent="0.25">
      <c r="B8" s="1205" t="s">
        <v>5</v>
      </c>
      <c r="C8" s="1206"/>
      <c r="D8" s="1207"/>
      <c r="E8" s="1469">
        <v>0</v>
      </c>
      <c r="F8" s="1470"/>
      <c r="G8" s="1283">
        <v>0.05</v>
      </c>
      <c r="H8" s="1322"/>
    </row>
    <row r="9" spans="2:11" x14ac:dyDescent="0.25">
      <c r="B9" s="1205" t="s">
        <v>2</v>
      </c>
      <c r="C9" s="1206"/>
      <c r="D9" s="1207"/>
      <c r="E9" s="1469">
        <f>+E7*0.15</f>
        <v>113.241</v>
      </c>
      <c r="F9" s="1470"/>
      <c r="G9" s="1469">
        <f>+G7*0.15</f>
        <v>114</v>
      </c>
      <c r="H9" s="1471"/>
    </row>
    <row r="10" spans="2:11" ht="18" thickBot="1" x14ac:dyDescent="0.3">
      <c r="B10" s="1236" t="s">
        <v>3</v>
      </c>
      <c r="C10" s="1237"/>
      <c r="D10" s="1238"/>
      <c r="E10" s="1639">
        <f>(E7-E8)+E9</f>
        <v>868.18100000000004</v>
      </c>
      <c r="F10" s="1640"/>
      <c r="G10" s="1639">
        <f>(G7)+G9</f>
        <v>874</v>
      </c>
      <c r="H10" s="1641"/>
      <c r="K10" s="973"/>
    </row>
    <row r="12" spans="2:11" x14ac:dyDescent="0.25">
      <c r="E12" s="303"/>
      <c r="F12" s="164"/>
      <c r="G12" s="974"/>
      <c r="H12" s="164"/>
    </row>
    <row r="13" spans="2:11" x14ac:dyDescent="0.25">
      <c r="H13" s="16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25" right="0.25" top="0.75" bottom="0.75" header="0.3" footer="0.3"/>
  <pageSetup orientation="portrait" r:id="rId1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9DE8-3EA2-4389-95CF-F977B3672577}">
  <sheetPr codeName="Hoja141"/>
  <dimension ref="B2:K13"/>
  <sheetViews>
    <sheetView showGridLines="0" workbookViewId="0">
      <selection activeCell="B1" sqref="B1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8" width="10.85546875" style="2" bestFit="1" customWidth="1"/>
    <col min="9" max="9" width="13.42578125" style="6" bestFit="1" customWidth="1"/>
    <col min="10" max="10" width="13.42578125" style="2" bestFit="1" customWidth="1"/>
    <col min="11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11" ht="18" thickBot="1" x14ac:dyDescent="0.3">
      <c r="B4" s="1215" t="s">
        <v>6</v>
      </c>
      <c r="C4" s="29" t="s">
        <v>17</v>
      </c>
      <c r="D4" s="30" t="s">
        <v>728</v>
      </c>
      <c r="E4" s="1252" t="s">
        <v>66</v>
      </c>
      <c r="F4" s="1251"/>
      <c r="G4" s="1248" t="s">
        <v>757</v>
      </c>
      <c r="H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972" t="s">
        <v>10</v>
      </c>
      <c r="G5" s="31" t="s">
        <v>14</v>
      </c>
      <c r="H5" s="32" t="s">
        <v>10</v>
      </c>
    </row>
    <row r="6" spans="2:11" s="157" customFormat="1" ht="18" thickBot="1" x14ac:dyDescent="0.3">
      <c r="B6" s="19">
        <v>1</v>
      </c>
      <c r="C6" s="158">
        <v>4</v>
      </c>
      <c r="D6" s="159" t="s">
        <v>756</v>
      </c>
      <c r="E6" s="976">
        <v>110</v>
      </c>
      <c r="F6" s="977">
        <f>+E6*C6</f>
        <v>440</v>
      </c>
      <c r="G6" s="976">
        <v>140</v>
      </c>
      <c r="H6" s="978">
        <f>+G6*C6</f>
        <v>560</v>
      </c>
      <c r="I6" s="163"/>
    </row>
    <row r="7" spans="2:11" x14ac:dyDescent="0.25">
      <c r="B7" s="1217" t="s">
        <v>4</v>
      </c>
      <c r="C7" s="1218"/>
      <c r="D7" s="1219"/>
      <c r="E7" s="1472">
        <f>SUM(F6:F6)</f>
        <v>440</v>
      </c>
      <c r="F7" s="1473"/>
      <c r="G7" s="1472">
        <f>SUM(H6:H6)</f>
        <v>560</v>
      </c>
      <c r="H7" s="1474"/>
    </row>
    <row r="8" spans="2:11" x14ac:dyDescent="0.25">
      <c r="B8" s="1205" t="s">
        <v>5</v>
      </c>
      <c r="C8" s="1206"/>
      <c r="D8" s="1207"/>
      <c r="E8" s="1469">
        <v>0</v>
      </c>
      <c r="F8" s="1470"/>
      <c r="G8" s="1469">
        <v>0</v>
      </c>
      <c r="H8" s="1471"/>
    </row>
    <row r="9" spans="2:11" x14ac:dyDescent="0.25">
      <c r="B9" s="1205" t="s">
        <v>2</v>
      </c>
      <c r="C9" s="1206"/>
      <c r="D9" s="1207"/>
      <c r="E9" s="1469">
        <v>0</v>
      </c>
      <c r="F9" s="1470"/>
      <c r="G9" s="1469">
        <f>+G7*0.15</f>
        <v>84</v>
      </c>
      <c r="H9" s="1471"/>
    </row>
    <row r="10" spans="2:11" ht="18" thickBot="1" x14ac:dyDescent="0.3">
      <c r="B10" s="1236" t="s">
        <v>3</v>
      </c>
      <c r="C10" s="1237"/>
      <c r="D10" s="1238"/>
      <c r="E10" s="1639">
        <f>(E7-E8)+E9</f>
        <v>440</v>
      </c>
      <c r="F10" s="1640"/>
      <c r="G10" s="1639">
        <f>(G7)+G9</f>
        <v>644</v>
      </c>
      <c r="H10" s="1641"/>
      <c r="K10" s="973"/>
    </row>
    <row r="12" spans="2:11" x14ac:dyDescent="0.25">
      <c r="E12" s="303"/>
      <c r="F12" s="164"/>
      <c r="G12" s="974"/>
      <c r="H12" s="164"/>
    </row>
    <row r="13" spans="2:11" x14ac:dyDescent="0.25">
      <c r="H13" s="16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pageMargins left="0.25" right="0.25" top="0.75" bottom="0.75" header="0.3" footer="0.3"/>
  <pageSetup orientation="portrait" r:id="rId1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42763-B61F-4A67-8D80-577929664FFE}">
  <sheetPr codeName="Hoja142"/>
  <dimension ref="A2:O28"/>
  <sheetViews>
    <sheetView showGridLines="0" workbookViewId="0">
      <selection activeCell="F4" sqref="F4:G4"/>
    </sheetView>
  </sheetViews>
  <sheetFormatPr baseColWidth="10" defaultColWidth="4.85546875" defaultRowHeight="14.25" x14ac:dyDescent="0.25"/>
  <cols>
    <col min="1" max="1" width="2.5703125" style="272" bestFit="1" customWidth="1"/>
    <col min="2" max="2" width="5.42578125" style="272" bestFit="1" customWidth="1"/>
    <col min="3" max="3" width="15.42578125" style="272" bestFit="1" customWidth="1"/>
    <col min="4" max="4" width="9.7109375" style="272" bestFit="1" customWidth="1"/>
    <col min="5" max="5" width="12.28515625" style="272" bestFit="1" customWidth="1"/>
    <col min="6" max="6" width="9.7109375" style="272" bestFit="1" customWidth="1"/>
    <col min="7" max="7" width="12.28515625" style="272" bestFit="1" customWidth="1"/>
    <col min="8" max="9" width="11.28515625" style="272" bestFit="1" customWidth="1"/>
    <col min="10" max="10" width="9.7109375" style="272" bestFit="1" customWidth="1"/>
    <col min="11" max="11" width="11.28515625" style="272" bestFit="1" customWidth="1"/>
    <col min="12" max="12" width="9.7109375" style="272" bestFit="1" customWidth="1"/>
    <col min="13" max="13" width="11.28515625" style="272" bestFit="1" customWidth="1"/>
    <col min="14" max="14" width="2.7109375" style="273" bestFit="1" customWidth="1"/>
    <col min="15" max="16384" width="4.85546875" style="272"/>
  </cols>
  <sheetData>
    <row r="2" spans="1:15" ht="15" thickBot="1" x14ac:dyDescent="0.3"/>
    <row r="3" spans="1:15" ht="15" thickBot="1" x14ac:dyDescent="0.3">
      <c r="A3" s="1296" t="s">
        <v>1</v>
      </c>
      <c r="B3" s="1313"/>
      <c r="C3" s="1313"/>
      <c r="D3" s="1313"/>
      <c r="E3" s="1313"/>
      <c r="F3" s="1313"/>
      <c r="G3" s="1313"/>
      <c r="H3" s="1313"/>
      <c r="I3" s="1313"/>
      <c r="J3" s="1313"/>
      <c r="K3" s="1313"/>
      <c r="L3" s="1313"/>
      <c r="M3" s="1642"/>
    </row>
    <row r="4" spans="1:15" ht="15" thickBot="1" x14ac:dyDescent="0.3">
      <c r="A4" s="1315" t="s">
        <v>6</v>
      </c>
      <c r="B4" s="274" t="s">
        <v>17</v>
      </c>
      <c r="C4" s="275" t="s">
        <v>758</v>
      </c>
      <c r="D4" s="1644" t="s">
        <v>18</v>
      </c>
      <c r="E4" s="1644"/>
      <c r="F4" s="1644" t="s">
        <v>691</v>
      </c>
      <c r="G4" s="1309"/>
      <c r="H4" s="1644" t="s">
        <v>20</v>
      </c>
      <c r="I4" s="1309"/>
      <c r="J4" s="1644" t="s">
        <v>21</v>
      </c>
      <c r="K4" s="1309"/>
      <c r="L4" s="1644" t="s">
        <v>22</v>
      </c>
      <c r="M4" s="1309"/>
    </row>
    <row r="5" spans="1:15" ht="15" thickBot="1" x14ac:dyDescent="0.3">
      <c r="A5" s="1643"/>
      <c r="B5" s="276" t="s">
        <v>11</v>
      </c>
      <c r="C5" s="980" t="s">
        <v>0</v>
      </c>
      <c r="D5" s="278" t="s">
        <v>14</v>
      </c>
      <c r="E5" s="981" t="s">
        <v>10</v>
      </c>
      <c r="F5" s="982" t="s">
        <v>14</v>
      </c>
      <c r="G5" s="983" t="s">
        <v>10</v>
      </c>
      <c r="H5" s="278" t="s">
        <v>14</v>
      </c>
      <c r="I5" s="979" t="s">
        <v>10</v>
      </c>
      <c r="J5" s="278" t="s">
        <v>14</v>
      </c>
      <c r="K5" s="979" t="s">
        <v>10</v>
      </c>
      <c r="L5" s="278" t="s">
        <v>14</v>
      </c>
      <c r="M5" s="979" t="s">
        <v>10</v>
      </c>
    </row>
    <row r="6" spans="1:15" s="289" customFormat="1" x14ac:dyDescent="0.25">
      <c r="A6" s="984">
        <v>1</v>
      </c>
      <c r="B6" s="985">
        <v>30</v>
      </c>
      <c r="C6" s="986" t="s">
        <v>422</v>
      </c>
      <c r="D6" s="284">
        <f>11.76*TC!C3</f>
        <v>419.770848</v>
      </c>
      <c r="E6" s="987">
        <f>+D6*B6</f>
        <v>12593.12544</v>
      </c>
      <c r="F6" s="988">
        <v>399.3</v>
      </c>
      <c r="G6" s="987">
        <f>+F6*$B6</f>
        <v>11979</v>
      </c>
      <c r="H6" s="284" t="s">
        <v>36</v>
      </c>
      <c r="I6" s="287" t="s">
        <v>36</v>
      </c>
      <c r="J6" s="284" t="s">
        <v>36</v>
      </c>
      <c r="K6" s="287" t="s">
        <v>36</v>
      </c>
      <c r="L6" s="284" t="s">
        <v>36</v>
      </c>
      <c r="M6" s="287" t="s">
        <v>36</v>
      </c>
      <c r="N6" s="288"/>
    </row>
    <row r="7" spans="1:15" s="289" customFormat="1" x14ac:dyDescent="0.25">
      <c r="A7" s="989">
        <v>2</v>
      </c>
      <c r="B7" s="990">
        <v>20</v>
      </c>
      <c r="C7" s="991" t="s">
        <v>421</v>
      </c>
      <c r="D7" s="294">
        <f>0.53*TC!C3</f>
        <v>18.918244000000001</v>
      </c>
      <c r="E7" s="987">
        <f>+D7*B7</f>
        <v>378.36488000000003</v>
      </c>
      <c r="F7" s="992">
        <v>15</v>
      </c>
      <c r="G7" s="987">
        <f>+F7*$B7</f>
        <v>300</v>
      </c>
      <c r="H7" s="294" t="s">
        <v>36</v>
      </c>
      <c r="I7" s="287" t="s">
        <v>36</v>
      </c>
      <c r="J7" s="294">
        <v>26.74</v>
      </c>
      <c r="K7" s="287">
        <f>+J7*B7</f>
        <v>534.79999999999995</v>
      </c>
      <c r="L7" s="294" t="s">
        <v>36</v>
      </c>
      <c r="M7" s="287" t="s">
        <v>36</v>
      </c>
      <c r="N7" s="288"/>
      <c r="O7" s="993"/>
    </row>
    <row r="8" spans="1:15" s="289" customFormat="1" ht="28.5" x14ac:dyDescent="0.25">
      <c r="A8" s="989">
        <v>3</v>
      </c>
      <c r="B8" s="990">
        <v>4</v>
      </c>
      <c r="C8" s="991" t="s">
        <v>759</v>
      </c>
      <c r="D8" s="294" t="s">
        <v>36</v>
      </c>
      <c r="E8" s="987" t="s">
        <v>36</v>
      </c>
      <c r="F8" s="992" t="s">
        <v>36</v>
      </c>
      <c r="G8" s="987" t="s">
        <v>36</v>
      </c>
      <c r="H8" s="294">
        <f>30.86*TC!C3</f>
        <v>1101.541528</v>
      </c>
      <c r="I8" s="287">
        <f>+H8</f>
        <v>1101.541528</v>
      </c>
      <c r="J8" s="294">
        <v>836.02</v>
      </c>
      <c r="K8" s="287">
        <f>+J8*B8</f>
        <v>3344.08</v>
      </c>
      <c r="L8" s="294" t="s">
        <v>36</v>
      </c>
      <c r="M8" s="287" t="s">
        <v>36</v>
      </c>
      <c r="N8" s="288"/>
      <c r="O8" s="993"/>
    </row>
    <row r="9" spans="1:15" s="289" customFormat="1" x14ac:dyDescent="0.25">
      <c r="A9" s="989">
        <v>4</v>
      </c>
      <c r="B9" s="990">
        <v>6</v>
      </c>
      <c r="C9" s="991" t="s">
        <v>760</v>
      </c>
      <c r="D9" s="294" t="s">
        <v>36</v>
      </c>
      <c r="E9" s="987" t="s">
        <v>36</v>
      </c>
      <c r="F9" s="992">
        <v>230</v>
      </c>
      <c r="G9" s="987">
        <f>+F9*$B9</f>
        <v>1380</v>
      </c>
      <c r="H9" s="294">
        <f>11.38*TC!C3</f>
        <v>406.20682400000004</v>
      </c>
      <c r="I9" s="287">
        <f>+H9*B9</f>
        <v>2437.2409440000001</v>
      </c>
      <c r="J9" s="294">
        <v>764.94</v>
      </c>
      <c r="K9" s="287">
        <f>+J9*B9</f>
        <v>4589.6400000000003</v>
      </c>
      <c r="L9" s="294" t="s">
        <v>36</v>
      </c>
      <c r="M9" s="287" t="s">
        <v>36</v>
      </c>
      <c r="N9" s="288"/>
    </row>
    <row r="10" spans="1:15" s="289" customFormat="1" x14ac:dyDescent="0.25">
      <c r="A10" s="989">
        <v>5</v>
      </c>
      <c r="B10" s="994">
        <v>13</v>
      </c>
      <c r="C10" s="995" t="s">
        <v>509</v>
      </c>
      <c r="D10" s="996"/>
      <c r="E10" s="997"/>
      <c r="F10" s="998"/>
      <c r="G10" s="997"/>
      <c r="H10" s="996"/>
      <c r="I10" s="999"/>
      <c r="J10" s="996"/>
      <c r="K10" s="999"/>
      <c r="L10" s="996"/>
      <c r="M10" s="999"/>
      <c r="N10" s="288"/>
    </row>
    <row r="11" spans="1:15" s="289" customFormat="1" x14ac:dyDescent="0.25">
      <c r="A11" s="989"/>
      <c r="B11" s="990">
        <v>3</v>
      </c>
      <c r="C11" s="991">
        <v>38</v>
      </c>
      <c r="D11" s="294">
        <f>8.89*TC!C3</f>
        <v>317.32677200000001</v>
      </c>
      <c r="E11" s="987">
        <f>+D11*B11</f>
        <v>951.98031600000002</v>
      </c>
      <c r="F11" s="992">
        <v>320</v>
      </c>
      <c r="G11" s="987">
        <f>+F11*B11</f>
        <v>960</v>
      </c>
      <c r="H11" s="294">
        <f>9.2*TC!$C$3</f>
        <v>328.39215999999999</v>
      </c>
      <c r="I11" s="287">
        <f>+H11*B11</f>
        <v>985.17647999999997</v>
      </c>
      <c r="J11" s="294">
        <v>341.28</v>
      </c>
      <c r="K11" s="287">
        <f>+J11*B11</f>
        <v>1023.8399999999999</v>
      </c>
      <c r="L11" s="294">
        <v>289.57</v>
      </c>
      <c r="M11" s="287">
        <f>+L11*B11</f>
        <v>868.71</v>
      </c>
      <c r="N11" s="288"/>
    </row>
    <row r="12" spans="1:15" s="289" customFormat="1" x14ac:dyDescent="0.25">
      <c r="A12" s="989"/>
      <c r="B12" s="990">
        <v>4</v>
      </c>
      <c r="C12" s="991">
        <v>40</v>
      </c>
      <c r="D12" s="294">
        <f>8.89*TC!C3</f>
        <v>317.32677200000001</v>
      </c>
      <c r="E12" s="987">
        <f>+D12*B12</f>
        <v>1269.307088</v>
      </c>
      <c r="F12" s="992">
        <v>320</v>
      </c>
      <c r="G12" s="987">
        <f>+F12*B12</f>
        <v>1280</v>
      </c>
      <c r="H12" s="294">
        <f>9.2*TC!$C$3</f>
        <v>328.39215999999999</v>
      </c>
      <c r="I12" s="287">
        <f>+H12*B12</f>
        <v>1313.56864</v>
      </c>
      <c r="J12" s="294">
        <v>341.28</v>
      </c>
      <c r="K12" s="287">
        <f>+J12*B12</f>
        <v>1365.12</v>
      </c>
      <c r="L12" s="294">
        <v>289.57</v>
      </c>
      <c r="M12" s="287">
        <f>+L12*B12</f>
        <v>1158.28</v>
      </c>
      <c r="N12" s="288"/>
    </row>
    <row r="13" spans="1:15" s="289" customFormat="1" x14ac:dyDescent="0.25">
      <c r="A13" s="989"/>
      <c r="B13" s="990">
        <v>3</v>
      </c>
      <c r="C13" s="991">
        <v>42</v>
      </c>
      <c r="D13" s="294">
        <f>8.89*TC!C3</f>
        <v>317.32677200000001</v>
      </c>
      <c r="E13" s="987">
        <f>+D13*B13</f>
        <v>951.98031600000002</v>
      </c>
      <c r="F13" s="992">
        <v>320</v>
      </c>
      <c r="G13" s="987">
        <f>+F13*B13</f>
        <v>960</v>
      </c>
      <c r="H13" s="294">
        <f>9.2*TC!$C$3</f>
        <v>328.39215999999999</v>
      </c>
      <c r="I13" s="287">
        <f>+H13*B13</f>
        <v>985.17647999999997</v>
      </c>
      <c r="J13" s="294">
        <v>341.28</v>
      </c>
      <c r="K13" s="287">
        <f>+J13*B13</f>
        <v>1023.8399999999999</v>
      </c>
      <c r="L13" s="294">
        <v>289.57</v>
      </c>
      <c r="M13" s="287">
        <f>+L13*B13</f>
        <v>868.71</v>
      </c>
      <c r="N13" s="288"/>
    </row>
    <row r="14" spans="1:15" s="289" customFormat="1" x14ac:dyDescent="0.25">
      <c r="A14" s="989"/>
      <c r="B14" s="990">
        <v>3</v>
      </c>
      <c r="C14" s="991">
        <v>44</v>
      </c>
      <c r="D14" s="294">
        <f>8.89*TC!C3</f>
        <v>317.32677200000001</v>
      </c>
      <c r="E14" s="987">
        <f>+D14*B14</f>
        <v>951.98031600000002</v>
      </c>
      <c r="F14" s="992">
        <v>320</v>
      </c>
      <c r="G14" s="987">
        <f>+F14*B14</f>
        <v>960</v>
      </c>
      <c r="H14" s="294">
        <f>9.2*TC!$C$3</f>
        <v>328.39215999999999</v>
      </c>
      <c r="I14" s="287">
        <f>+H14*B14</f>
        <v>985.17647999999997</v>
      </c>
      <c r="J14" s="294">
        <v>341.28</v>
      </c>
      <c r="K14" s="287">
        <f>+J14*B14</f>
        <v>1023.8399999999999</v>
      </c>
      <c r="L14" s="294">
        <v>289.57</v>
      </c>
      <c r="M14" s="287">
        <f>+L14*B14</f>
        <v>868.71</v>
      </c>
      <c r="N14" s="288"/>
    </row>
    <row r="15" spans="1:15" s="289" customFormat="1" x14ac:dyDescent="0.25">
      <c r="A15" s="989">
        <v>6</v>
      </c>
      <c r="B15" s="994">
        <v>5</v>
      </c>
      <c r="C15" s="995" t="s">
        <v>510</v>
      </c>
      <c r="D15" s="996"/>
      <c r="E15" s="997"/>
      <c r="F15" s="998"/>
      <c r="G15" s="997"/>
      <c r="H15" s="996"/>
      <c r="I15" s="999"/>
      <c r="J15" s="996"/>
      <c r="K15" s="999"/>
      <c r="L15" s="996"/>
      <c r="M15" s="999"/>
      <c r="N15" s="288"/>
    </row>
    <row r="16" spans="1:15" s="289" customFormat="1" x14ac:dyDescent="0.25">
      <c r="A16" s="989"/>
      <c r="B16" s="990">
        <v>2</v>
      </c>
      <c r="C16" s="991">
        <v>41</v>
      </c>
      <c r="D16" s="294">
        <f>17.53*TC!C3</f>
        <v>625.72984400000007</v>
      </c>
      <c r="E16" s="987">
        <f>+D16*B16</f>
        <v>1251.4596880000001</v>
      </c>
      <c r="F16" s="992">
        <v>450</v>
      </c>
      <c r="G16" s="987">
        <f>+F16*$B16</f>
        <v>900</v>
      </c>
      <c r="H16" s="294">
        <f>18.44*TC!$C$3</f>
        <v>658.21211200000005</v>
      </c>
      <c r="I16" s="287">
        <f>+H16*B16</f>
        <v>1316.4242240000001</v>
      </c>
      <c r="J16" s="294">
        <v>574.55999999999995</v>
      </c>
      <c r="K16" s="287">
        <f>+J16*B16</f>
        <v>1149.1199999999999</v>
      </c>
      <c r="L16" s="294">
        <v>590.65</v>
      </c>
      <c r="M16" s="287">
        <f>+L16*B16</f>
        <v>1181.3</v>
      </c>
      <c r="N16" s="288"/>
      <c r="O16" s="1000"/>
    </row>
    <row r="17" spans="1:15" s="289" customFormat="1" x14ac:dyDescent="0.25">
      <c r="A17" s="989"/>
      <c r="B17" s="990">
        <v>2</v>
      </c>
      <c r="C17" s="991">
        <v>43</v>
      </c>
      <c r="D17" s="294">
        <f>17.53*TC!C3</f>
        <v>625.72984400000007</v>
      </c>
      <c r="E17" s="987">
        <f>+D17*B17</f>
        <v>1251.4596880000001</v>
      </c>
      <c r="F17" s="992">
        <v>450</v>
      </c>
      <c r="G17" s="987">
        <f t="shared" ref="G17:G18" si="0">+F17*$B17</f>
        <v>900</v>
      </c>
      <c r="H17" s="294">
        <f>18.44*TC!$C$3</f>
        <v>658.21211200000005</v>
      </c>
      <c r="I17" s="287">
        <f>+H17*B17</f>
        <v>1316.4242240000001</v>
      </c>
      <c r="J17" s="294">
        <v>574.55999999999995</v>
      </c>
      <c r="K17" s="287">
        <f>+J17*B17</f>
        <v>1149.1199999999999</v>
      </c>
      <c r="L17" s="294">
        <v>590.65</v>
      </c>
      <c r="M17" s="287">
        <f>+L17*B17</f>
        <v>1181.3</v>
      </c>
      <c r="N17" s="288"/>
    </row>
    <row r="18" spans="1:15" s="289" customFormat="1" x14ac:dyDescent="0.25">
      <c r="A18" s="989"/>
      <c r="B18" s="990">
        <v>1</v>
      </c>
      <c r="C18" s="991">
        <v>45</v>
      </c>
      <c r="D18" s="294" t="s">
        <v>36</v>
      </c>
      <c r="E18" s="987" t="s">
        <v>36</v>
      </c>
      <c r="F18" s="992">
        <v>450</v>
      </c>
      <c r="G18" s="987">
        <f t="shared" si="0"/>
        <v>450</v>
      </c>
      <c r="H18" s="294">
        <f>18.44*TC!$C$3</f>
        <v>658.21211200000005</v>
      </c>
      <c r="I18" s="287">
        <f>+H18*B18</f>
        <v>658.21211200000005</v>
      </c>
      <c r="J18" s="294">
        <v>574.55999999999995</v>
      </c>
      <c r="K18" s="287">
        <f>+J18*B18</f>
        <v>574.55999999999995</v>
      </c>
      <c r="L18" s="294">
        <v>590.65</v>
      </c>
      <c r="M18" s="287">
        <f>+L18*B18</f>
        <v>590.65</v>
      </c>
      <c r="N18" s="288"/>
    </row>
    <row r="19" spans="1:15" s="289" customFormat="1" x14ac:dyDescent="0.25">
      <c r="A19" s="989">
        <v>7</v>
      </c>
      <c r="B19" s="994">
        <v>3</v>
      </c>
      <c r="C19" s="995" t="s">
        <v>511</v>
      </c>
      <c r="D19" s="996"/>
      <c r="E19" s="997"/>
      <c r="F19" s="998"/>
      <c r="G19" s="997"/>
      <c r="H19" s="996"/>
      <c r="I19" s="999"/>
      <c r="J19" s="996"/>
      <c r="K19" s="999"/>
      <c r="L19" s="996"/>
      <c r="M19" s="999"/>
      <c r="N19" s="288"/>
    </row>
    <row r="20" spans="1:15" s="289" customFormat="1" ht="15" thickBot="1" x14ac:dyDescent="0.3">
      <c r="A20" s="984"/>
      <c r="B20" s="985">
        <v>3</v>
      </c>
      <c r="C20" s="986">
        <v>40</v>
      </c>
      <c r="D20" s="284" t="s">
        <v>36</v>
      </c>
      <c r="E20" s="987" t="s">
        <v>36</v>
      </c>
      <c r="F20" s="988">
        <v>450</v>
      </c>
      <c r="G20" s="987">
        <f>+F20*B20</f>
        <v>1350</v>
      </c>
      <c r="H20" s="284">
        <f>18.44*TC!C3</f>
        <v>658.21211200000005</v>
      </c>
      <c r="I20" s="287">
        <f>+H20*B20</f>
        <v>1974.636336</v>
      </c>
      <c r="J20" s="284" t="s">
        <v>36</v>
      </c>
      <c r="K20" s="287" t="s">
        <v>36</v>
      </c>
      <c r="L20" s="284">
        <v>590.65</v>
      </c>
      <c r="M20" s="287">
        <f>+L20*B20</f>
        <v>1771.9499999999998</v>
      </c>
      <c r="N20" s="288"/>
      <c r="O20" s="1000"/>
    </row>
    <row r="21" spans="1:15" x14ac:dyDescent="0.25">
      <c r="A21" s="1318" t="s">
        <v>4</v>
      </c>
      <c r="B21" s="1319"/>
      <c r="C21" s="1320"/>
      <c r="D21" s="1298">
        <f>SUM(E6:E20)</f>
        <v>19599.657731999996</v>
      </c>
      <c r="E21" s="1307"/>
      <c r="F21" s="1298">
        <f>SUM(G6:G20)</f>
        <v>21419</v>
      </c>
      <c r="G21" s="1307"/>
      <c r="H21" s="1298">
        <f>SUM(I6:I20)</f>
        <v>13073.577448</v>
      </c>
      <c r="I21" s="1307"/>
      <c r="J21" s="1298">
        <f>SUM(K6:K20)</f>
        <v>15777.959999999997</v>
      </c>
      <c r="K21" s="1299"/>
      <c r="L21" s="1298">
        <f>SUM(M6:M20)</f>
        <v>8489.61</v>
      </c>
      <c r="M21" s="1299"/>
    </row>
    <row r="22" spans="1:15" x14ac:dyDescent="0.25">
      <c r="A22" s="1310" t="s">
        <v>5</v>
      </c>
      <c r="B22" s="1311"/>
      <c r="C22" s="1312"/>
      <c r="D22" s="1300">
        <v>0</v>
      </c>
      <c r="E22" s="1303"/>
      <c r="F22" s="1300">
        <v>0</v>
      </c>
      <c r="G22" s="1303"/>
      <c r="H22" s="1300">
        <v>0</v>
      </c>
      <c r="I22" s="1303"/>
      <c r="J22" s="1300">
        <v>0</v>
      </c>
      <c r="K22" s="1301"/>
      <c r="L22" s="1300">
        <v>0</v>
      </c>
      <c r="M22" s="1301"/>
    </row>
    <row r="23" spans="1:15" x14ac:dyDescent="0.25">
      <c r="A23" s="1310" t="s">
        <v>2</v>
      </c>
      <c r="B23" s="1311"/>
      <c r="C23" s="1312"/>
      <c r="D23" s="1300">
        <f>(D21-D22)*15%</f>
        <v>2939.9486597999994</v>
      </c>
      <c r="E23" s="1303"/>
      <c r="F23" s="1300">
        <f>(F21-F22)*15%</f>
        <v>3212.85</v>
      </c>
      <c r="G23" s="1303"/>
      <c r="H23" s="1300">
        <f>(H21-H22)*15%</f>
        <v>1961.0366171999999</v>
      </c>
      <c r="I23" s="1303"/>
      <c r="J23" s="1300">
        <f>(J21-J22)*15%</f>
        <v>2366.6939999999995</v>
      </c>
      <c r="K23" s="1301"/>
      <c r="L23" s="1300">
        <f>(L21-L22)*15%</f>
        <v>1273.4415000000001</v>
      </c>
      <c r="M23" s="1301"/>
    </row>
    <row r="24" spans="1:15" ht="15" thickBot="1" x14ac:dyDescent="0.3">
      <c r="A24" s="1304" t="s">
        <v>3</v>
      </c>
      <c r="B24" s="1305"/>
      <c r="C24" s="1306"/>
      <c r="D24" s="1294">
        <f>(D21-D22)+D23</f>
        <v>22539.606391799996</v>
      </c>
      <c r="E24" s="1295"/>
      <c r="F24" s="1294">
        <f>(F21-F22)+F23</f>
        <v>24631.85</v>
      </c>
      <c r="G24" s="1295"/>
      <c r="H24" s="1294">
        <f>(H21-H22)+H23</f>
        <v>15034.614065199999</v>
      </c>
      <c r="I24" s="1295"/>
      <c r="J24" s="1294">
        <f>(J21-J22)+J23</f>
        <v>18144.653999999995</v>
      </c>
      <c r="K24" s="1302"/>
      <c r="L24" s="1294">
        <f>(L21-L22)+L23</f>
        <v>9763.0515000000014</v>
      </c>
      <c r="M24" s="1302"/>
    </row>
    <row r="26" spans="1:15" s="273" customFormat="1" x14ac:dyDescent="0.25">
      <c r="A26" s="272"/>
      <c r="B26" s="272"/>
      <c r="C26" s="272"/>
      <c r="D26" s="272"/>
      <c r="E26" s="296"/>
      <c r="F26" s="272"/>
      <c r="G26" s="296"/>
      <c r="H26" s="272"/>
      <c r="I26" s="296"/>
      <c r="J26" s="272"/>
      <c r="K26" s="296"/>
      <c r="L26" s="272"/>
      <c r="M26" s="296"/>
    </row>
    <row r="28" spans="1:15" x14ac:dyDescent="0.25">
      <c r="G28" s="296"/>
    </row>
  </sheetData>
  <mergeCells count="31">
    <mergeCell ref="A3:M3"/>
    <mergeCell ref="A4:A5"/>
    <mergeCell ref="D4:E4"/>
    <mergeCell ref="F4:G4"/>
    <mergeCell ref="H4:I4"/>
    <mergeCell ref="L4:M4"/>
    <mergeCell ref="J4:K4"/>
    <mergeCell ref="L21:M21"/>
    <mergeCell ref="A22:C22"/>
    <mergeCell ref="D22:E22"/>
    <mergeCell ref="F22:G22"/>
    <mergeCell ref="H22:I22"/>
    <mergeCell ref="L22:M22"/>
    <mergeCell ref="J21:K21"/>
    <mergeCell ref="J22:K22"/>
    <mergeCell ref="A21:C21"/>
    <mergeCell ref="D21:E21"/>
    <mergeCell ref="F21:G21"/>
    <mergeCell ref="H21:I21"/>
    <mergeCell ref="L23:M23"/>
    <mergeCell ref="A24:C24"/>
    <mergeCell ref="D24:E24"/>
    <mergeCell ref="F24:G24"/>
    <mergeCell ref="H24:I24"/>
    <mergeCell ref="L24:M24"/>
    <mergeCell ref="J23:K23"/>
    <mergeCell ref="J24:K24"/>
    <mergeCell ref="A23:C23"/>
    <mergeCell ref="D23:E23"/>
    <mergeCell ref="F23:G23"/>
    <mergeCell ref="H23:I23"/>
  </mergeCells>
  <conditionalFormatting sqref="M6:M9 M20 G20 I20 I6:I9 E20 K20 E6:E9 E11:E14 E16:E18 G6:G9 G11:G14 G16:G18 M11:M14 M16:M18 K6:K9 K11:K14 K16:K18 I11:I14 I16:I18">
    <cfRule type="expression" dxfId="43" priority="364">
      <formula>D6=MIN($D6,$F6,$H6,$J6,$L6)</formula>
    </cfRule>
  </conditionalFormatting>
  <pageMargins left="0.25" right="0.25" top="0.75" bottom="0.75" header="0.3" footer="0.3"/>
  <pageSetup orientation="landscape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16455-6A55-4AC7-83E1-3F4C7A3F1204}">
  <sheetPr codeName="Hoja143"/>
  <dimension ref="A2:N13"/>
  <sheetViews>
    <sheetView showGridLines="0" workbookViewId="0">
      <selection activeCell="C6" sqref="C6"/>
    </sheetView>
  </sheetViews>
  <sheetFormatPr baseColWidth="10" defaultRowHeight="15" x14ac:dyDescent="0.25"/>
  <cols>
    <col min="1" max="1" width="2.5703125" style="1001" bestFit="1" customWidth="1"/>
    <col min="2" max="2" width="5.85546875" style="1001" bestFit="1" customWidth="1"/>
    <col min="3" max="3" width="16.42578125" style="1001" bestFit="1" customWidth="1"/>
    <col min="4" max="4" width="11.7109375" style="1001" bestFit="1" customWidth="1"/>
    <col min="5" max="5" width="12.7109375" style="1001" bestFit="1" customWidth="1"/>
    <col min="6" max="6" width="11.7109375" style="1001" bestFit="1" customWidth="1"/>
    <col min="7" max="7" width="12.7109375" style="1001" bestFit="1" customWidth="1"/>
    <col min="8" max="8" width="11.7109375" style="1001" bestFit="1" customWidth="1"/>
    <col min="9" max="9" width="12.7109375" style="1001" bestFit="1" customWidth="1"/>
    <col min="10" max="10" width="13.85546875" style="1001" bestFit="1" customWidth="1"/>
    <col min="11" max="11" width="11.7109375" style="1001" bestFit="1" customWidth="1"/>
    <col min="12" max="12" width="3" style="1002" bestFit="1" customWidth="1"/>
    <col min="13" max="13" width="13.42578125" style="1001" bestFit="1" customWidth="1"/>
    <col min="14" max="16384" width="11.42578125" style="1001"/>
  </cols>
  <sheetData>
    <row r="2" spans="1:14" ht="15.75" thickBot="1" x14ac:dyDescent="0.3"/>
    <row r="3" spans="1:14" ht="15.75" thickBot="1" x14ac:dyDescent="0.3">
      <c r="A3" s="1666" t="s">
        <v>1</v>
      </c>
      <c r="B3" s="1667"/>
      <c r="C3" s="1667"/>
      <c r="D3" s="1668"/>
      <c r="E3" s="1668"/>
      <c r="F3" s="1668"/>
      <c r="G3" s="1668"/>
      <c r="H3" s="1668"/>
      <c r="I3" s="1668"/>
      <c r="J3" s="1668"/>
      <c r="K3" s="1669"/>
    </row>
    <row r="4" spans="1:14" ht="15.75" thickBot="1" x14ac:dyDescent="0.3">
      <c r="A4" s="1670" t="s">
        <v>6</v>
      </c>
      <c r="B4" s="1003" t="s">
        <v>17</v>
      </c>
      <c r="C4" s="1004" t="s">
        <v>762</v>
      </c>
      <c r="D4" s="1672" t="s">
        <v>667</v>
      </c>
      <c r="E4" s="1669"/>
      <c r="F4" s="1666" t="s">
        <v>227</v>
      </c>
      <c r="G4" s="1669"/>
      <c r="H4" s="1666" t="s">
        <v>29</v>
      </c>
      <c r="I4" s="1669"/>
      <c r="J4" s="1666" t="s">
        <v>119</v>
      </c>
      <c r="K4" s="1669"/>
    </row>
    <row r="5" spans="1:14" ht="15.75" thickBot="1" x14ac:dyDescent="0.3">
      <c r="A5" s="1671"/>
      <c r="B5" s="1005" t="s">
        <v>11</v>
      </c>
      <c r="C5" s="1006" t="s">
        <v>0</v>
      </c>
      <c r="D5" s="1007" t="s">
        <v>14</v>
      </c>
      <c r="E5" s="1008" t="s">
        <v>10</v>
      </c>
      <c r="F5" s="1007" t="s">
        <v>14</v>
      </c>
      <c r="G5" s="1008" t="s">
        <v>10</v>
      </c>
      <c r="H5" s="1007" t="s">
        <v>14</v>
      </c>
      <c r="I5" s="1009" t="s">
        <v>10</v>
      </c>
      <c r="J5" s="1007" t="s">
        <v>14</v>
      </c>
      <c r="K5" s="1009" t="s">
        <v>10</v>
      </c>
    </row>
    <row r="6" spans="1:14" s="1016" customFormat="1" ht="30.75" thickBot="1" x14ac:dyDescent="0.3">
      <c r="A6" s="1010">
        <v>1</v>
      </c>
      <c r="B6" s="1011">
        <v>6</v>
      </c>
      <c r="C6" s="1012" t="s">
        <v>763</v>
      </c>
      <c r="D6" s="1013">
        <f>66.33*TC!C3</f>
        <v>2367.6360840000002</v>
      </c>
      <c r="E6" s="1014">
        <f>+D6*B6</f>
        <v>14205.816504000002</v>
      </c>
      <c r="F6" s="1013">
        <f>(427.5/B6)*TC!C3</f>
        <v>2543.2545</v>
      </c>
      <c r="G6" s="1014">
        <f>+F6*B6</f>
        <v>15259.527</v>
      </c>
      <c r="H6" s="1013">
        <f>47.09*TC!C3</f>
        <v>1680.8681320000001</v>
      </c>
      <c r="I6" s="1015">
        <f>+H6*B6</f>
        <v>10085.208792000001</v>
      </c>
      <c r="J6" s="1022">
        <v>1017.9</v>
      </c>
      <c r="K6" s="1015">
        <f>+J6*5</f>
        <v>5089.5</v>
      </c>
    </row>
    <row r="7" spans="1:14" x14ac:dyDescent="0.25">
      <c r="A7" s="1657" t="s">
        <v>4</v>
      </c>
      <c r="B7" s="1658"/>
      <c r="C7" s="1659"/>
      <c r="D7" s="1660">
        <f>SUM(E6:E6)</f>
        <v>14205.816504000002</v>
      </c>
      <c r="E7" s="1661"/>
      <c r="F7" s="1660">
        <f>SUM(G6:G6)</f>
        <v>15259.527</v>
      </c>
      <c r="G7" s="1661"/>
      <c r="H7" s="1660">
        <f>SUM(I6:I6)</f>
        <v>10085.208792000001</v>
      </c>
      <c r="I7" s="1662"/>
      <c r="J7" s="1660">
        <f>SUM(K6:K6)</f>
        <v>5089.5</v>
      </c>
      <c r="K7" s="1662"/>
    </row>
    <row r="8" spans="1:14" x14ac:dyDescent="0.25">
      <c r="A8" s="1645" t="s">
        <v>5</v>
      </c>
      <c r="B8" s="1646"/>
      <c r="C8" s="1647"/>
      <c r="D8" s="1648">
        <v>0</v>
      </c>
      <c r="E8" s="1649"/>
      <c r="F8" s="1663">
        <v>0.05</v>
      </c>
      <c r="G8" s="1664"/>
      <c r="H8" s="1663">
        <v>0</v>
      </c>
      <c r="I8" s="1665"/>
      <c r="J8" s="1663">
        <v>0</v>
      </c>
      <c r="K8" s="1665"/>
    </row>
    <row r="9" spans="1:14" x14ac:dyDescent="0.25">
      <c r="A9" s="1645" t="s">
        <v>2</v>
      </c>
      <c r="B9" s="1646"/>
      <c r="C9" s="1647"/>
      <c r="D9" s="1648">
        <f>+D7*0.15</f>
        <v>2130.8724756000001</v>
      </c>
      <c r="E9" s="1649"/>
      <c r="F9" s="1648">
        <f>+F7*0.15</f>
        <v>2288.9290499999997</v>
      </c>
      <c r="G9" s="1649"/>
      <c r="H9" s="1648">
        <f>+H7*0.15</f>
        <v>1512.7813188000002</v>
      </c>
      <c r="I9" s="1650"/>
      <c r="J9" s="1648">
        <f>+J7*0.15</f>
        <v>763.42499999999995</v>
      </c>
      <c r="K9" s="1650"/>
    </row>
    <row r="10" spans="1:14" ht="15.75" thickBot="1" x14ac:dyDescent="0.3">
      <c r="A10" s="1651" t="s">
        <v>3</v>
      </c>
      <c r="B10" s="1652"/>
      <c r="C10" s="1653"/>
      <c r="D10" s="1654">
        <f>(D7-D8)+D9</f>
        <v>16336.688979600003</v>
      </c>
      <c r="E10" s="1655"/>
      <c r="F10" s="1654">
        <f>(F7)+F9</f>
        <v>17548.456050000001</v>
      </c>
      <c r="G10" s="1655"/>
      <c r="H10" s="1654">
        <f>(H7)+H9</f>
        <v>11597.990110800001</v>
      </c>
      <c r="I10" s="1656"/>
      <c r="J10" s="1654">
        <f>(J7)+J9</f>
        <v>5852.9250000000002</v>
      </c>
      <c r="K10" s="1656"/>
      <c r="N10" s="1017"/>
    </row>
    <row r="12" spans="1:14" x14ac:dyDescent="0.25">
      <c r="D12" s="1018"/>
      <c r="E12" s="1019"/>
      <c r="F12" s="1020"/>
      <c r="G12" s="1019"/>
      <c r="H12" s="1019"/>
      <c r="I12" s="1021"/>
      <c r="J12" s="1023" t="s">
        <v>764</v>
      </c>
      <c r="K12" s="1021"/>
    </row>
    <row r="13" spans="1:14" x14ac:dyDescent="0.25">
      <c r="G13" s="1019"/>
      <c r="I13" s="1019"/>
      <c r="K13" s="1019"/>
    </row>
  </sheetData>
  <mergeCells count="26">
    <mergeCell ref="A3:K3"/>
    <mergeCell ref="A4:A5"/>
    <mergeCell ref="D4:E4"/>
    <mergeCell ref="F4:G4"/>
    <mergeCell ref="J4:K4"/>
    <mergeCell ref="H4:I4"/>
    <mergeCell ref="A7:C7"/>
    <mergeCell ref="D7:E7"/>
    <mergeCell ref="F7:G7"/>
    <mergeCell ref="J7:K7"/>
    <mergeCell ref="A8:C8"/>
    <mergeCell ref="D8:E8"/>
    <mergeCell ref="F8:G8"/>
    <mergeCell ref="J8:K8"/>
    <mergeCell ref="H7:I7"/>
    <mergeCell ref="H8:I8"/>
    <mergeCell ref="A9:C9"/>
    <mergeCell ref="D9:E9"/>
    <mergeCell ref="F9:G9"/>
    <mergeCell ref="J9:K9"/>
    <mergeCell ref="A10:C10"/>
    <mergeCell ref="D10:E10"/>
    <mergeCell ref="F10:G10"/>
    <mergeCell ref="J10:K10"/>
    <mergeCell ref="H9:I9"/>
    <mergeCell ref="H10:I10"/>
  </mergeCells>
  <pageMargins left="0.25" right="0.25" top="0.75" bottom="0.75" header="0.3" footer="0.3"/>
  <pageSetup orientation="landscape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003C9-57DB-4C50-9BF9-16A66F8DA65F}">
  <sheetPr codeName="Hoja144"/>
  <dimension ref="A5:N21"/>
  <sheetViews>
    <sheetView showGridLines="0" workbookViewId="0">
      <selection activeCell="E17" sqref="E17"/>
    </sheetView>
  </sheetViews>
  <sheetFormatPr baseColWidth="10" defaultRowHeight="15" x14ac:dyDescent="0.25"/>
  <cols>
    <col min="1" max="1" width="2.5703125" style="1001" bestFit="1" customWidth="1"/>
    <col min="2" max="2" width="5.85546875" style="1001" bestFit="1" customWidth="1"/>
    <col min="3" max="3" width="16.42578125" style="1001" bestFit="1" customWidth="1"/>
    <col min="4" max="4" width="11.7109375" style="1001" bestFit="1" customWidth="1"/>
    <col min="5" max="5" width="12.7109375" style="1001" bestFit="1" customWidth="1"/>
    <col min="6" max="6" width="11.7109375" style="1001" bestFit="1" customWidth="1"/>
    <col min="7" max="7" width="12.7109375" style="1001" bestFit="1" customWidth="1"/>
    <col min="8" max="8" width="11.7109375" style="1001" bestFit="1" customWidth="1"/>
    <col min="9" max="9" width="12.7109375" style="1001" bestFit="1" customWidth="1"/>
    <col min="10" max="10" width="13.85546875" style="1001" bestFit="1" customWidth="1"/>
    <col min="11" max="11" width="11.7109375" style="1001" bestFit="1" customWidth="1"/>
    <col min="12" max="12" width="3" style="1002" bestFit="1" customWidth="1"/>
    <col min="13" max="13" width="13.42578125" style="1001" bestFit="1" customWidth="1"/>
    <col min="14" max="16384" width="11.42578125" style="1001"/>
  </cols>
  <sheetData>
    <row r="5" spans="1:14" ht="15.75" thickBot="1" x14ac:dyDescent="0.3"/>
    <row r="6" spans="1:14" ht="15.75" thickBot="1" x14ac:dyDescent="0.3">
      <c r="A6" s="1666" t="s">
        <v>1</v>
      </c>
      <c r="B6" s="1667"/>
      <c r="C6" s="1667"/>
      <c r="D6" s="1668"/>
      <c r="E6" s="1668"/>
      <c r="F6" s="1668"/>
      <c r="G6" s="1668"/>
      <c r="H6" s="1668"/>
      <c r="I6" s="1668"/>
      <c r="J6" s="1668"/>
      <c r="K6" s="1669"/>
    </row>
    <row r="7" spans="1:14" ht="15.75" thickBot="1" x14ac:dyDescent="0.3">
      <c r="A7" s="1670" t="s">
        <v>6</v>
      </c>
      <c r="B7" s="1003" t="s">
        <v>17</v>
      </c>
      <c r="C7" s="1004" t="s">
        <v>766</v>
      </c>
      <c r="D7" s="1672" t="s">
        <v>768</v>
      </c>
      <c r="E7" s="1669"/>
      <c r="F7" s="1666" t="s">
        <v>31</v>
      </c>
      <c r="G7" s="1669"/>
      <c r="H7" s="1666" t="s">
        <v>29</v>
      </c>
      <c r="I7" s="1669"/>
      <c r="J7" s="1666" t="s">
        <v>119</v>
      </c>
      <c r="K7" s="1669"/>
    </row>
    <row r="8" spans="1:14" ht="15.75" thickBot="1" x14ac:dyDescent="0.3">
      <c r="A8" s="1671"/>
      <c r="B8" s="1005" t="s">
        <v>11</v>
      </c>
      <c r="C8" s="1006" t="s">
        <v>0</v>
      </c>
      <c r="D8" s="1007" t="s">
        <v>14</v>
      </c>
      <c r="E8" s="1026" t="s">
        <v>10</v>
      </c>
      <c r="F8" s="1007" t="s">
        <v>14</v>
      </c>
      <c r="G8" s="1026" t="s">
        <v>10</v>
      </c>
      <c r="H8" s="1007" t="s">
        <v>14</v>
      </c>
      <c r="I8" s="1009" t="s">
        <v>10</v>
      </c>
      <c r="J8" s="1007" t="s">
        <v>14</v>
      </c>
      <c r="K8" s="1009" t="s">
        <v>10</v>
      </c>
    </row>
    <row r="9" spans="1:14" s="1016" customFormat="1" ht="15.75" thickBot="1" x14ac:dyDescent="0.3">
      <c r="A9" s="1010">
        <v>1</v>
      </c>
      <c r="B9" s="1011">
        <v>6</v>
      </c>
      <c r="C9" s="1012" t="s">
        <v>767</v>
      </c>
      <c r="D9" s="1013">
        <v>480</v>
      </c>
      <c r="E9" s="1014">
        <f>+D9*B9</f>
        <v>2880</v>
      </c>
      <c r="F9" s="1013">
        <v>372.42</v>
      </c>
      <c r="G9" s="1014">
        <f>+F9*B9</f>
        <v>2234.52</v>
      </c>
      <c r="H9" s="1013">
        <f>13.42*TC!C3</f>
        <v>479.02421600000002</v>
      </c>
      <c r="I9" s="1015">
        <f>+H9*B9</f>
        <v>2874.1452960000001</v>
      </c>
      <c r="J9" s="1013">
        <v>337</v>
      </c>
      <c r="K9" s="1028">
        <f>+J9*B9</f>
        <v>2022</v>
      </c>
    </row>
    <row r="10" spans="1:14" x14ac:dyDescent="0.25">
      <c r="A10" s="1657" t="s">
        <v>4</v>
      </c>
      <c r="B10" s="1658"/>
      <c r="C10" s="1659"/>
      <c r="D10" s="1660">
        <f>SUM(E9:E9)</f>
        <v>2880</v>
      </c>
      <c r="E10" s="1661"/>
      <c r="F10" s="1660">
        <f>SUM(G9:G9)</f>
        <v>2234.52</v>
      </c>
      <c r="G10" s="1661"/>
      <c r="H10" s="1660">
        <f>SUM(I9:I9)</f>
        <v>2874.1452960000001</v>
      </c>
      <c r="I10" s="1662"/>
      <c r="J10" s="1660">
        <f>SUM(K9:K9)</f>
        <v>2022</v>
      </c>
      <c r="K10" s="1662"/>
    </row>
    <row r="11" spans="1:14" x14ac:dyDescent="0.25">
      <c r="A11" s="1645" t="s">
        <v>5</v>
      </c>
      <c r="B11" s="1646"/>
      <c r="C11" s="1647"/>
      <c r="D11" s="1663">
        <v>0</v>
      </c>
      <c r="E11" s="1664"/>
      <c r="F11" s="1663">
        <v>0</v>
      </c>
      <c r="G11" s="1664"/>
      <c r="H11" s="1663">
        <v>0</v>
      </c>
      <c r="I11" s="1665"/>
      <c r="J11" s="1663">
        <v>0</v>
      </c>
      <c r="K11" s="1665"/>
    </row>
    <row r="12" spans="1:14" x14ac:dyDescent="0.25">
      <c r="A12" s="1645" t="s">
        <v>2</v>
      </c>
      <c r="B12" s="1646"/>
      <c r="C12" s="1647"/>
      <c r="D12" s="1648">
        <f>+D10*0.15</f>
        <v>432</v>
      </c>
      <c r="E12" s="1649"/>
      <c r="F12" s="1648">
        <f>+F10*0.15</f>
        <v>335.178</v>
      </c>
      <c r="G12" s="1649"/>
      <c r="H12" s="1648">
        <f>+H10*0.15</f>
        <v>431.1217944</v>
      </c>
      <c r="I12" s="1650"/>
      <c r="J12" s="1648">
        <f>+J10*0.15</f>
        <v>303.3</v>
      </c>
      <c r="K12" s="1650"/>
    </row>
    <row r="13" spans="1:14" ht="15.75" thickBot="1" x14ac:dyDescent="0.3">
      <c r="A13" s="1651" t="s">
        <v>3</v>
      </c>
      <c r="B13" s="1652"/>
      <c r="C13" s="1653"/>
      <c r="D13" s="1654">
        <f>(D10-D11)+D12</f>
        <v>3312</v>
      </c>
      <c r="E13" s="1655"/>
      <c r="F13" s="1654">
        <f>(F10)+F12</f>
        <v>2569.6979999999999</v>
      </c>
      <c r="G13" s="1655"/>
      <c r="H13" s="1654">
        <f>(H10)+H12</f>
        <v>3305.2670904000001</v>
      </c>
      <c r="I13" s="1656"/>
      <c r="J13" s="1654">
        <f>(J10)+J12</f>
        <v>2325.3000000000002</v>
      </c>
      <c r="K13" s="1656"/>
      <c r="N13" s="1017"/>
    </row>
    <row r="14" spans="1:14" ht="15.75" thickBot="1" x14ac:dyDescent="0.3"/>
    <row r="15" spans="1:14" ht="15.75" thickBot="1" x14ac:dyDescent="0.3">
      <c r="A15" s="1670" t="s">
        <v>6</v>
      </c>
      <c r="B15" s="1003" t="s">
        <v>17</v>
      </c>
      <c r="C15" s="1004" t="s">
        <v>766</v>
      </c>
      <c r="D15" s="1672" t="s">
        <v>67</v>
      </c>
      <c r="E15" s="1669"/>
      <c r="F15" s="1666" t="s">
        <v>66</v>
      </c>
      <c r="G15" s="1669"/>
      <c r="H15" s="1666" t="s">
        <v>644</v>
      </c>
      <c r="I15" s="1669"/>
      <c r="J15" s="1002"/>
      <c r="L15" s="1001"/>
    </row>
    <row r="16" spans="1:14" ht="15.75" thickBot="1" x14ac:dyDescent="0.3">
      <c r="A16" s="1671"/>
      <c r="B16" s="1005" t="s">
        <v>11</v>
      </c>
      <c r="C16" s="1006" t="s">
        <v>0</v>
      </c>
      <c r="D16" s="1007" t="s">
        <v>14</v>
      </c>
      <c r="E16" s="1026" t="s">
        <v>10</v>
      </c>
      <c r="F16" s="1007" t="s">
        <v>14</v>
      </c>
      <c r="G16" s="1026" t="s">
        <v>10</v>
      </c>
      <c r="H16" s="1007" t="s">
        <v>14</v>
      </c>
      <c r="I16" s="1009" t="s">
        <v>10</v>
      </c>
      <c r="J16" s="1002"/>
      <c r="L16" s="1001"/>
    </row>
    <row r="17" spans="1:12" ht="30.75" thickBot="1" x14ac:dyDescent="0.3">
      <c r="A17" s="1010">
        <v>1</v>
      </c>
      <c r="B17" s="1011">
        <v>6</v>
      </c>
      <c r="C17" s="1012" t="s">
        <v>769</v>
      </c>
      <c r="D17" s="1013">
        <v>195.31479999999999</v>
      </c>
      <c r="E17" s="1029">
        <f>+D17*B17</f>
        <v>1171.8887999999999</v>
      </c>
      <c r="F17" s="1013">
        <v>245</v>
      </c>
      <c r="G17" s="1014">
        <f>+F17*B17</f>
        <v>1470</v>
      </c>
      <c r="H17" s="1013">
        <f>1486.03/B17</f>
        <v>247.67166666666665</v>
      </c>
      <c r="I17" s="1015">
        <f>+H17*B17</f>
        <v>1486.03</v>
      </c>
      <c r="J17" s="1002"/>
      <c r="L17" s="1001"/>
    </row>
    <row r="18" spans="1:12" x14ac:dyDescent="0.25">
      <c r="A18" s="1657" t="s">
        <v>4</v>
      </c>
      <c r="B18" s="1658"/>
      <c r="C18" s="1659"/>
      <c r="D18" s="1660">
        <f>SUM(E17:E17)</f>
        <v>1171.8887999999999</v>
      </c>
      <c r="E18" s="1661"/>
      <c r="F18" s="1660">
        <f>SUM(G17:G17)</f>
        <v>1470</v>
      </c>
      <c r="G18" s="1661"/>
      <c r="H18" s="1660">
        <f>SUM(I17:I17)</f>
        <v>1486.03</v>
      </c>
      <c r="I18" s="1662"/>
      <c r="J18" s="1002"/>
      <c r="L18" s="1001"/>
    </row>
    <row r="19" spans="1:12" x14ac:dyDescent="0.25">
      <c r="A19" s="1645" t="s">
        <v>5</v>
      </c>
      <c r="B19" s="1646"/>
      <c r="C19" s="1647"/>
      <c r="D19" s="1663">
        <v>0</v>
      </c>
      <c r="E19" s="1664"/>
      <c r="F19" s="1663">
        <v>0</v>
      </c>
      <c r="G19" s="1664"/>
      <c r="H19" s="1663">
        <v>0.2</v>
      </c>
      <c r="I19" s="1665"/>
      <c r="J19" s="1002"/>
      <c r="L19" s="1001"/>
    </row>
    <row r="20" spans="1:12" x14ac:dyDescent="0.25">
      <c r="A20" s="1645" t="s">
        <v>2</v>
      </c>
      <c r="B20" s="1646"/>
      <c r="C20" s="1647"/>
      <c r="D20" s="1648">
        <f>+D18*0.15</f>
        <v>175.78331999999997</v>
      </c>
      <c r="E20" s="1649"/>
      <c r="F20" s="1648">
        <v>0</v>
      </c>
      <c r="G20" s="1649"/>
      <c r="H20" s="1648">
        <f>+H18*0.15</f>
        <v>222.90449999999998</v>
      </c>
      <c r="I20" s="1650"/>
      <c r="J20" s="1002"/>
      <c r="L20" s="1001"/>
    </row>
    <row r="21" spans="1:12" ht="15.75" thickBot="1" x14ac:dyDescent="0.3">
      <c r="A21" s="1651" t="s">
        <v>3</v>
      </c>
      <c r="B21" s="1652"/>
      <c r="C21" s="1653"/>
      <c r="D21" s="1654">
        <f>(D18-D19)+D20</f>
        <v>1347.6721199999999</v>
      </c>
      <c r="E21" s="1655"/>
      <c r="F21" s="1654">
        <f>(F18)+F20</f>
        <v>1470</v>
      </c>
      <c r="G21" s="1655"/>
      <c r="H21" s="1654">
        <f>(H18)+H20</f>
        <v>1708.9344999999998</v>
      </c>
      <c r="I21" s="1656"/>
      <c r="J21" s="1002"/>
      <c r="L21" s="1001"/>
    </row>
  </sheetData>
  <mergeCells count="46">
    <mergeCell ref="A6:K6"/>
    <mergeCell ref="A7:A8"/>
    <mergeCell ref="D7:E7"/>
    <mergeCell ref="F7:G7"/>
    <mergeCell ref="H7:I7"/>
    <mergeCell ref="J7:K7"/>
    <mergeCell ref="A11:C11"/>
    <mergeCell ref="D11:E11"/>
    <mergeCell ref="F11:G11"/>
    <mergeCell ref="H11:I11"/>
    <mergeCell ref="J11:K11"/>
    <mergeCell ref="A10:C10"/>
    <mergeCell ref="D10:E10"/>
    <mergeCell ref="F10:G10"/>
    <mergeCell ref="H10:I10"/>
    <mergeCell ref="J10:K10"/>
    <mergeCell ref="J12:K12"/>
    <mergeCell ref="A13:C13"/>
    <mergeCell ref="D13:E13"/>
    <mergeCell ref="F13:G13"/>
    <mergeCell ref="H13:I13"/>
    <mergeCell ref="J13:K13"/>
    <mergeCell ref="A15:A16"/>
    <mergeCell ref="D15:E15"/>
    <mergeCell ref="F15:G15"/>
    <mergeCell ref="H15:I15"/>
    <mergeCell ref="A12:C12"/>
    <mergeCell ref="D12:E12"/>
    <mergeCell ref="F12:G12"/>
    <mergeCell ref="H12:I12"/>
    <mergeCell ref="A18:C18"/>
    <mergeCell ref="D18:E18"/>
    <mergeCell ref="F18:G18"/>
    <mergeCell ref="H18:I18"/>
    <mergeCell ref="A19:C19"/>
    <mergeCell ref="D19:E19"/>
    <mergeCell ref="F19:G19"/>
    <mergeCell ref="H19:I19"/>
    <mergeCell ref="A20:C20"/>
    <mergeCell ref="D20:E20"/>
    <mergeCell ref="F20:G20"/>
    <mergeCell ref="H20:I20"/>
    <mergeCell ref="A21:C21"/>
    <mergeCell ref="D21:E21"/>
    <mergeCell ref="F21:G21"/>
    <mergeCell ref="H21:I21"/>
  </mergeCells>
  <pageMargins left="0.25" right="0.25" top="0.75" bottom="0.75" header="0.3" footer="0.3"/>
  <pageSetup orientation="landscape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95BBF-4FEF-4370-BEE0-CFC352634EC4}">
  <sheetPr codeName="Hoja145"/>
  <dimension ref="B5:M16"/>
  <sheetViews>
    <sheetView showGridLines="0" workbookViewId="0">
      <selection activeCell="C2" sqref="C2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" style="2" bestFit="1" customWidth="1"/>
    <col min="5" max="5" width="11" style="2" bestFit="1" customWidth="1"/>
    <col min="6" max="6" width="14.140625" style="2" bestFit="1" customWidth="1"/>
    <col min="7" max="7" width="11" style="2" bestFit="1" customWidth="1"/>
    <col min="8" max="8" width="14.140625" style="2" bestFit="1" customWidth="1"/>
    <col min="9" max="9" width="11" style="2" bestFit="1" customWidth="1"/>
    <col min="10" max="10" width="14.140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5" spans="2:13" ht="18" thickBot="1" x14ac:dyDescent="0.3"/>
    <row r="6" spans="2:13" ht="18" thickBot="1" x14ac:dyDescent="0.3">
      <c r="B6" s="1248" t="s">
        <v>1</v>
      </c>
      <c r="C6" s="1249"/>
      <c r="D6" s="1249"/>
      <c r="E6" s="1250"/>
      <c r="F6" s="1250"/>
      <c r="G6" s="1250"/>
      <c r="H6" s="1250"/>
      <c r="I6" s="1250"/>
      <c r="J6" s="1251"/>
    </row>
    <row r="7" spans="2:13" ht="18" thickBot="1" x14ac:dyDescent="0.3">
      <c r="B7" s="1215" t="s">
        <v>6</v>
      </c>
      <c r="C7" s="29" t="s">
        <v>17</v>
      </c>
      <c r="D7" s="30" t="s">
        <v>770</v>
      </c>
      <c r="E7" s="1252" t="s">
        <v>566</v>
      </c>
      <c r="F7" s="1251"/>
      <c r="G7" s="1248" t="s">
        <v>593</v>
      </c>
      <c r="H7" s="1251"/>
      <c r="I7" s="1248" t="s">
        <v>438</v>
      </c>
      <c r="J7" s="1251"/>
    </row>
    <row r="8" spans="2:13" ht="18" thickBot="1" x14ac:dyDescent="0.3">
      <c r="B8" s="1216"/>
      <c r="C8" s="33" t="s">
        <v>11</v>
      </c>
      <c r="D8" s="21" t="s">
        <v>0</v>
      </c>
      <c r="E8" s="31" t="s">
        <v>14</v>
      </c>
      <c r="F8" s="1024" t="s">
        <v>10</v>
      </c>
      <c r="G8" s="31" t="s">
        <v>14</v>
      </c>
      <c r="H8" s="1024" t="s">
        <v>10</v>
      </c>
      <c r="I8" s="31" t="s">
        <v>14</v>
      </c>
      <c r="J8" s="32" t="s">
        <v>10</v>
      </c>
    </row>
    <row r="9" spans="2:13" s="157" customFormat="1" ht="35.25" thickBot="1" x14ac:dyDescent="0.3">
      <c r="B9" s="19">
        <v>1</v>
      </c>
      <c r="C9" s="158">
        <v>20</v>
      </c>
      <c r="D9" s="159" t="s">
        <v>771</v>
      </c>
      <c r="E9" s="160">
        <f>1400/C9</f>
        <v>70</v>
      </c>
      <c r="F9" s="210">
        <f>+E9*C9</f>
        <v>1400</v>
      </c>
      <c r="G9" s="160">
        <v>70</v>
      </c>
      <c r="H9" s="210">
        <f>+G9*C9</f>
        <v>1400</v>
      </c>
      <c r="I9" s="160">
        <f>1840/C9</f>
        <v>92</v>
      </c>
      <c r="J9" s="162">
        <f>+I9*C9</f>
        <v>1840</v>
      </c>
      <c r="K9" s="163"/>
    </row>
    <row r="10" spans="2:13" x14ac:dyDescent="0.25">
      <c r="B10" s="1217" t="s">
        <v>4</v>
      </c>
      <c r="C10" s="1218"/>
      <c r="D10" s="1219"/>
      <c r="E10" s="1245">
        <f>SUM(F9:F9)</f>
        <v>1400</v>
      </c>
      <c r="F10" s="1246"/>
      <c r="G10" s="1245">
        <f>SUM(H9:H9)</f>
        <v>1400</v>
      </c>
      <c r="H10" s="1246"/>
      <c r="I10" s="1245">
        <f>SUM(J9:J9)</f>
        <v>1840</v>
      </c>
      <c r="J10" s="1247"/>
    </row>
    <row r="11" spans="2:13" x14ac:dyDescent="0.25">
      <c r="B11" s="1205" t="s">
        <v>5</v>
      </c>
      <c r="C11" s="1206"/>
      <c r="D11" s="1207"/>
      <c r="E11" s="1242">
        <v>0</v>
      </c>
      <c r="F11" s="1243"/>
      <c r="G11" s="1283">
        <v>0.1</v>
      </c>
      <c r="H11" s="1284"/>
      <c r="I11" s="1242">
        <v>0</v>
      </c>
      <c r="J11" s="1244"/>
    </row>
    <row r="12" spans="2:13" x14ac:dyDescent="0.25">
      <c r="B12" s="1205" t="s">
        <v>2</v>
      </c>
      <c r="C12" s="1206"/>
      <c r="D12" s="1207"/>
      <c r="E12" s="1242">
        <f>(E10-E11)*15%</f>
        <v>210</v>
      </c>
      <c r="F12" s="1243"/>
      <c r="G12" s="1242">
        <f>(G10)*15%</f>
        <v>210</v>
      </c>
      <c r="H12" s="1243"/>
      <c r="I12" s="1242">
        <f>(I10-I11)*15%</f>
        <v>276</v>
      </c>
      <c r="J12" s="1244"/>
    </row>
    <row r="13" spans="2:13" ht="18" thickBot="1" x14ac:dyDescent="0.3">
      <c r="B13" s="1236" t="s">
        <v>3</v>
      </c>
      <c r="C13" s="1237"/>
      <c r="D13" s="1238"/>
      <c r="E13" s="1239">
        <f>(E10-E11)+E12</f>
        <v>1610</v>
      </c>
      <c r="F13" s="1240"/>
      <c r="G13" s="1239">
        <f>(G10)+G12</f>
        <v>1610</v>
      </c>
      <c r="H13" s="1240"/>
      <c r="I13" s="1239">
        <f>(I10-I11)+I12</f>
        <v>2116</v>
      </c>
      <c r="J13" s="1241"/>
      <c r="M13" s="973"/>
    </row>
    <row r="15" spans="2:13" x14ac:dyDescent="0.25">
      <c r="E15" s="303"/>
      <c r="F15" s="164"/>
      <c r="G15" s="974"/>
      <c r="H15" s="164"/>
      <c r="I15" s="164"/>
      <c r="J15" s="975"/>
    </row>
    <row r="16" spans="2:13" x14ac:dyDescent="0.25">
      <c r="H16" s="164"/>
      <c r="J16" s="164"/>
    </row>
  </sheetData>
  <mergeCells count="21">
    <mergeCell ref="B10:D10"/>
    <mergeCell ref="E10:F10"/>
    <mergeCell ref="G10:H10"/>
    <mergeCell ref="I10:J10"/>
    <mergeCell ref="B6:J6"/>
    <mergeCell ref="B7:B8"/>
    <mergeCell ref="E7:F7"/>
    <mergeCell ref="G7:H7"/>
    <mergeCell ref="I7:J7"/>
    <mergeCell ref="B13:D13"/>
    <mergeCell ref="E13:F13"/>
    <mergeCell ref="G13:H13"/>
    <mergeCell ref="I13:J13"/>
    <mergeCell ref="B11:D11"/>
    <mergeCell ref="E11:F11"/>
    <mergeCell ref="G11:H11"/>
    <mergeCell ref="I11:J11"/>
    <mergeCell ref="B12:D12"/>
    <mergeCell ref="E12:F12"/>
    <mergeCell ref="G12:H12"/>
    <mergeCell ref="I12:J12"/>
  </mergeCells>
  <conditionalFormatting sqref="F9 J9 H9">
    <cfRule type="expression" dxfId="42" priority="1">
      <formula>E9=""</formula>
    </cfRule>
    <cfRule type="expression" dxfId="41" priority="2">
      <formula>E9=MIN($E9,$I9,#REF!)</formula>
    </cfRule>
  </conditionalFormatting>
  <pageMargins left="0.25" right="0.25" top="0.75" bottom="0.75" header="0.3" footer="0.3"/>
  <pageSetup orientation="landscape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940DB-90A2-4CC4-96C3-F30B5D7E3F78}">
  <sheetPr codeName="Hoja146"/>
  <dimension ref="B2:K15"/>
  <sheetViews>
    <sheetView showGridLines="0" workbookViewId="0">
      <selection activeCell="H8" sqref="H8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7.85546875" style="34" bestFit="1" customWidth="1"/>
    <col min="5" max="5" width="11.140625" style="34" bestFit="1" customWidth="1"/>
    <col min="6" max="6" width="14" style="34" bestFit="1" customWidth="1"/>
    <col min="7" max="7" width="11.140625" style="34" bestFit="1" customWidth="1"/>
    <col min="8" max="8" width="14" style="34" bestFit="1" customWidth="1"/>
    <col min="9" max="9" width="11.140625" style="34" bestFit="1" customWidth="1"/>
    <col min="10" max="10" width="14" style="34" bestFit="1" customWidth="1"/>
    <col min="11" max="11" width="13.42578125" style="35" bestFit="1" customWidth="1"/>
    <col min="12" max="12" width="13.42578125" style="34" bestFit="1" customWidth="1"/>
    <col min="13" max="16384" width="11.42578125" style="34"/>
  </cols>
  <sheetData>
    <row r="2" spans="2:11" ht="16.5" thickBot="1" x14ac:dyDescent="0.3"/>
    <row r="3" spans="2:11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2"/>
    </row>
    <row r="4" spans="2:11" x14ac:dyDescent="0.25">
      <c r="B4" s="1434" t="s">
        <v>6</v>
      </c>
      <c r="C4" s="505" t="s">
        <v>17</v>
      </c>
      <c r="D4" s="506" t="s">
        <v>772</v>
      </c>
      <c r="E4" s="1435" t="s">
        <v>273</v>
      </c>
      <c r="F4" s="1435"/>
      <c r="G4" s="1435" t="s">
        <v>272</v>
      </c>
      <c r="H4" s="1435"/>
      <c r="I4" s="1435" t="s">
        <v>691</v>
      </c>
      <c r="J4" s="1436"/>
    </row>
    <row r="5" spans="2:11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393" t="s">
        <v>10</v>
      </c>
    </row>
    <row r="6" spans="2:11" s="346" customFormat="1" x14ac:dyDescent="0.25">
      <c r="B6" s="1027">
        <v>1</v>
      </c>
      <c r="C6" s="507">
        <v>72</v>
      </c>
      <c r="D6" s="508" t="s">
        <v>268</v>
      </c>
      <c r="E6" s="510">
        <v>196</v>
      </c>
      <c r="F6" s="510">
        <f>+E6*$C6</f>
        <v>14112</v>
      </c>
      <c r="G6" s="510">
        <v>175.82</v>
      </c>
      <c r="H6" s="510">
        <f>+G6*$C6</f>
        <v>12659.039999999999</v>
      </c>
      <c r="I6" s="510" t="s">
        <v>36</v>
      </c>
      <c r="J6" s="511" t="s">
        <v>36</v>
      </c>
      <c r="K6" s="345"/>
    </row>
    <row r="7" spans="2:11" s="346" customFormat="1" x14ac:dyDescent="0.25">
      <c r="B7" s="421">
        <v>2</v>
      </c>
      <c r="C7" s="647">
        <v>36</v>
      </c>
      <c r="D7" s="589" t="s">
        <v>393</v>
      </c>
      <c r="E7" s="648">
        <v>77</v>
      </c>
      <c r="F7" s="648">
        <f t="shared" ref="F7" si="0">+E7*$C7</f>
        <v>2772</v>
      </c>
      <c r="G7" s="648">
        <v>66.2</v>
      </c>
      <c r="H7" s="648">
        <f t="shared" ref="H7:H8" si="1">+G7*$C7</f>
        <v>2383.2000000000003</v>
      </c>
      <c r="I7" s="648" t="s">
        <v>36</v>
      </c>
      <c r="J7" s="649" t="s">
        <v>36</v>
      </c>
      <c r="K7" s="345"/>
    </row>
    <row r="8" spans="2:11" s="346" customFormat="1" ht="32.25" thickBot="1" x14ac:dyDescent="0.3">
      <c r="B8" s="421">
        <v>3</v>
      </c>
      <c r="C8" s="647">
        <v>100</v>
      </c>
      <c r="D8" s="589" t="s">
        <v>449</v>
      </c>
      <c r="E8" s="648" t="s">
        <v>36</v>
      </c>
      <c r="F8" s="648" t="s">
        <v>36</v>
      </c>
      <c r="G8" s="648">
        <v>420</v>
      </c>
      <c r="H8" s="648">
        <f t="shared" si="1"/>
        <v>42000</v>
      </c>
      <c r="I8" s="648">
        <v>440</v>
      </c>
      <c r="J8" s="649">
        <f>+I8*C8</f>
        <v>44000</v>
      </c>
      <c r="K8" s="345"/>
    </row>
    <row r="9" spans="2:11" x14ac:dyDescent="0.25">
      <c r="B9" s="1094" t="s">
        <v>4</v>
      </c>
      <c r="C9" s="1095"/>
      <c r="D9" s="1095"/>
      <c r="E9" s="1399">
        <f>SUM(F6:F8)</f>
        <v>16884</v>
      </c>
      <c r="F9" s="1399"/>
      <c r="G9" s="1399">
        <f>SUM(H6:H8)</f>
        <v>57042.239999999998</v>
      </c>
      <c r="H9" s="1399"/>
      <c r="I9" s="1399">
        <f>SUM(J6:J8)</f>
        <v>44000</v>
      </c>
      <c r="J9" s="1403"/>
    </row>
    <row r="10" spans="2:11" x14ac:dyDescent="0.25">
      <c r="B10" s="1096" t="s">
        <v>5</v>
      </c>
      <c r="C10" s="1097"/>
      <c r="D10" s="1097"/>
      <c r="E10" s="1400">
        <v>0</v>
      </c>
      <c r="F10" s="1400"/>
      <c r="G10" s="1400">
        <v>0</v>
      </c>
      <c r="H10" s="1400"/>
      <c r="I10" s="1400">
        <v>0</v>
      </c>
      <c r="J10" s="1401"/>
    </row>
    <row r="11" spans="2:11" x14ac:dyDescent="0.25">
      <c r="B11" s="1096" t="s">
        <v>2</v>
      </c>
      <c r="C11" s="1097"/>
      <c r="D11" s="1097"/>
      <c r="E11" s="1400">
        <f>(E9-E10)*15%</f>
        <v>2532.6</v>
      </c>
      <c r="F11" s="1400"/>
      <c r="G11" s="1400">
        <f>(G9-G10)*15%</f>
        <v>8556.3359999999993</v>
      </c>
      <c r="H11" s="1400"/>
      <c r="I11" s="1400">
        <f>+I9*0.15</f>
        <v>6600</v>
      </c>
      <c r="J11" s="1401"/>
    </row>
    <row r="12" spans="2:11" ht="16.5" thickBot="1" x14ac:dyDescent="0.3">
      <c r="B12" s="1098" t="s">
        <v>3</v>
      </c>
      <c r="C12" s="1099"/>
      <c r="D12" s="1099"/>
      <c r="E12" s="1437">
        <f>(E9-E10)+E11</f>
        <v>19416.599999999999</v>
      </c>
      <c r="F12" s="1437"/>
      <c r="G12" s="1437">
        <f>(G9-G10)+G11</f>
        <v>65598.576000000001</v>
      </c>
      <c r="H12" s="1437"/>
      <c r="I12" s="1437">
        <f>(I9-I10)+I11</f>
        <v>50600</v>
      </c>
      <c r="J12" s="1438"/>
    </row>
    <row r="14" spans="2:11" x14ac:dyDescent="0.25">
      <c r="E14" s="1351"/>
      <c r="F14" s="1351"/>
      <c r="G14" s="40"/>
      <c r="H14" s="40"/>
      <c r="J14" s="40"/>
    </row>
    <row r="15" spans="2:11" x14ac:dyDescent="0.25">
      <c r="E15" s="1351"/>
      <c r="F15" s="1351"/>
    </row>
  </sheetData>
  <mergeCells count="22">
    <mergeCell ref="E14:F15"/>
    <mergeCell ref="B11:D11"/>
    <mergeCell ref="E11:F11"/>
    <mergeCell ref="G11:H11"/>
    <mergeCell ref="I11:J11"/>
    <mergeCell ref="B12:D12"/>
    <mergeCell ref="E12:F12"/>
    <mergeCell ref="G12:H12"/>
    <mergeCell ref="I12:J12"/>
    <mergeCell ref="B9:D9"/>
    <mergeCell ref="E9:F9"/>
    <mergeCell ref="G9:H9"/>
    <mergeCell ref="I9:J9"/>
    <mergeCell ref="B10:D10"/>
    <mergeCell ref="E10:F10"/>
    <mergeCell ref="G10:H10"/>
    <mergeCell ref="I10:J10"/>
    <mergeCell ref="B3:J3"/>
    <mergeCell ref="B4:B5"/>
    <mergeCell ref="E4:F4"/>
    <mergeCell ref="G4:H4"/>
    <mergeCell ref="I4:J4"/>
  </mergeCells>
  <conditionalFormatting sqref="F6:F7 H6:H8 J6:J8">
    <cfRule type="expression" dxfId="40" priority="365">
      <formula>E6=""</formula>
    </cfRule>
    <cfRule type="expression" dxfId="39" priority="36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D1122-2239-4BE1-AFE0-84A3451087E3}">
  <sheetPr codeName="Hoja147"/>
  <dimension ref="A5:L19"/>
  <sheetViews>
    <sheetView showGridLines="0" workbookViewId="0"/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7.140625" style="34" bestFit="1" customWidth="1"/>
    <col min="4" max="4" width="11.140625" style="34" bestFit="1" customWidth="1"/>
    <col min="5" max="5" width="14" style="34" bestFit="1" customWidth="1"/>
    <col min="6" max="10" width="11.140625" style="34" bestFit="1" customWidth="1"/>
    <col min="11" max="11" width="14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5" spans="1:12" ht="16.5" thickBot="1" x14ac:dyDescent="0.3"/>
    <row r="6" spans="1:12" ht="16.5" thickBot="1" x14ac:dyDescent="0.3">
      <c r="A6" s="1100" t="s">
        <v>1</v>
      </c>
      <c r="B6" s="1101"/>
      <c r="C6" s="1101"/>
      <c r="D6" s="1101"/>
      <c r="E6" s="1101"/>
      <c r="F6" s="1101"/>
      <c r="G6" s="1101"/>
      <c r="H6" s="1101"/>
      <c r="I6" s="1101"/>
      <c r="J6" s="1101"/>
      <c r="K6" s="1102"/>
    </row>
    <row r="7" spans="1:12" x14ac:dyDescent="0.25">
      <c r="A7" s="1434" t="s">
        <v>6</v>
      </c>
      <c r="B7" s="505" t="s">
        <v>17</v>
      </c>
      <c r="C7" s="506" t="s">
        <v>765</v>
      </c>
      <c r="D7" s="1435" t="s">
        <v>53</v>
      </c>
      <c r="E7" s="1435"/>
      <c r="F7" s="1435" t="s">
        <v>52</v>
      </c>
      <c r="G7" s="1435"/>
      <c r="H7" s="1435" t="s">
        <v>51</v>
      </c>
      <c r="I7" s="1435"/>
      <c r="J7" s="1435" t="s">
        <v>49</v>
      </c>
      <c r="K7" s="1436"/>
    </row>
    <row r="8" spans="1:12" ht="16.5" thickBot="1" x14ac:dyDescent="0.3">
      <c r="A8" s="1385"/>
      <c r="B8" s="392" t="s">
        <v>11</v>
      </c>
      <c r="C8" s="45" t="s">
        <v>0</v>
      </c>
      <c r="D8" s="45" t="s">
        <v>14</v>
      </c>
      <c r="E8" s="45" t="s">
        <v>10</v>
      </c>
      <c r="F8" s="45" t="s">
        <v>14</v>
      </c>
      <c r="G8" s="45" t="s">
        <v>10</v>
      </c>
      <c r="H8" s="45" t="s">
        <v>14</v>
      </c>
      <c r="I8" s="45" t="s">
        <v>10</v>
      </c>
      <c r="J8" s="45" t="s">
        <v>14</v>
      </c>
      <c r="K8" s="393" t="s">
        <v>10</v>
      </c>
    </row>
    <row r="9" spans="1:12" s="346" customFormat="1" x14ac:dyDescent="0.25">
      <c r="A9" s="1025">
        <v>1</v>
      </c>
      <c r="B9" s="507">
        <v>96</v>
      </c>
      <c r="C9" s="508" t="s">
        <v>746</v>
      </c>
      <c r="D9" s="510">
        <f>(380.3/B9)*36.21</f>
        <v>143.44440625000001</v>
      </c>
      <c r="E9" s="510">
        <f>+D9*$B9</f>
        <v>13770.663</v>
      </c>
      <c r="F9" s="510" t="s">
        <v>36</v>
      </c>
      <c r="G9" s="510" t="s">
        <v>36</v>
      </c>
      <c r="H9" s="510" t="s">
        <v>36</v>
      </c>
      <c r="I9" s="510" t="s">
        <v>36</v>
      </c>
      <c r="J9" s="510">
        <f>14287.1/B9</f>
        <v>148.82395833333334</v>
      </c>
      <c r="K9" s="511">
        <f>+J9*B9</f>
        <v>14287.1</v>
      </c>
      <c r="L9" s="351"/>
    </row>
    <row r="10" spans="1:12" s="346" customFormat="1" x14ac:dyDescent="0.25">
      <c r="A10" s="421">
        <v>2</v>
      </c>
      <c r="B10" s="647">
        <v>8</v>
      </c>
      <c r="C10" s="589" t="s">
        <v>401</v>
      </c>
      <c r="D10" s="648">
        <f>((25)/B10)*36.21</f>
        <v>113.15625</v>
      </c>
      <c r="E10" s="648">
        <f t="shared" ref="E10" si="0">+D10*$B10</f>
        <v>905.25</v>
      </c>
      <c r="F10" s="648" t="s">
        <v>36</v>
      </c>
      <c r="G10" s="648" t="s">
        <v>36</v>
      </c>
      <c r="H10" s="648" t="s">
        <v>36</v>
      </c>
      <c r="I10" s="648" t="s">
        <v>36</v>
      </c>
      <c r="J10" s="648">
        <f>1025.73/B10</f>
        <v>128.21625</v>
      </c>
      <c r="K10" s="649">
        <f>+J10*B10</f>
        <v>1025.73</v>
      </c>
      <c r="L10" s="351"/>
    </row>
    <row r="11" spans="1:12" s="346" customFormat="1" x14ac:dyDescent="0.25">
      <c r="A11" s="421">
        <v>3</v>
      </c>
      <c r="B11" s="647">
        <v>1</v>
      </c>
      <c r="C11" s="589" t="s">
        <v>399</v>
      </c>
      <c r="D11" s="648" t="s">
        <v>36</v>
      </c>
      <c r="E11" s="648" t="s">
        <v>36</v>
      </c>
      <c r="F11" s="648">
        <f>451.8*0.75</f>
        <v>338.85</v>
      </c>
      <c r="G11" s="648">
        <f t="shared" ref="G11:G12" si="1">+F11*$B11</f>
        <v>338.85</v>
      </c>
      <c r="H11" s="648">
        <v>200</v>
      </c>
      <c r="I11" s="648">
        <f>+H11*B11</f>
        <v>200</v>
      </c>
      <c r="J11" s="648">
        <v>282.13</v>
      </c>
      <c r="K11" s="649">
        <f>+J11*B11</f>
        <v>282.13</v>
      </c>
      <c r="L11" s="351"/>
    </row>
    <row r="12" spans="1:12" s="346" customFormat="1" ht="16.5" thickBot="1" x14ac:dyDescent="0.3">
      <c r="A12" s="401">
        <v>4</v>
      </c>
      <c r="B12" s="512">
        <v>1</v>
      </c>
      <c r="C12" s="513" t="s">
        <v>400</v>
      </c>
      <c r="D12" s="514" t="s">
        <v>36</v>
      </c>
      <c r="E12" s="514" t="s">
        <v>36</v>
      </c>
      <c r="F12" s="514">
        <f>482.82*0.75</f>
        <v>362.11500000000001</v>
      </c>
      <c r="G12" s="514">
        <f t="shared" si="1"/>
        <v>362.11500000000001</v>
      </c>
      <c r="H12" s="514">
        <v>250</v>
      </c>
      <c r="I12" s="514">
        <f t="shared" ref="I12" si="2">+H12*$B12</f>
        <v>250</v>
      </c>
      <c r="J12" s="648">
        <v>238.15</v>
      </c>
      <c r="K12" s="516">
        <f>+J12/B12</f>
        <v>238.15</v>
      </c>
      <c r="L12" s="351"/>
    </row>
    <row r="13" spans="1:12" x14ac:dyDescent="0.25">
      <c r="A13" s="1094" t="s">
        <v>4</v>
      </c>
      <c r="B13" s="1095"/>
      <c r="C13" s="1095"/>
      <c r="D13" s="1399">
        <f>SUM(E9:E12)</f>
        <v>14675.913</v>
      </c>
      <c r="E13" s="1399"/>
      <c r="F13" s="1399">
        <f>SUM(G9:G12)</f>
        <v>700.96500000000003</v>
      </c>
      <c r="G13" s="1399"/>
      <c r="H13" s="1399">
        <f>SUM(I9:I12)</f>
        <v>450</v>
      </c>
      <c r="I13" s="1399"/>
      <c r="J13" s="1399">
        <f>SUM(K9:K12)</f>
        <v>15833.109999999999</v>
      </c>
      <c r="K13" s="1403"/>
    </row>
    <row r="14" spans="1:12" x14ac:dyDescent="0.25">
      <c r="A14" s="1096" t="s">
        <v>5</v>
      </c>
      <c r="B14" s="1097"/>
      <c r="C14" s="1097"/>
      <c r="D14" s="1573">
        <v>0.3</v>
      </c>
      <c r="E14" s="1573"/>
      <c r="F14" s="1573">
        <v>0.25</v>
      </c>
      <c r="G14" s="1573"/>
      <c r="H14" s="1400">
        <v>0</v>
      </c>
      <c r="I14" s="1400"/>
      <c r="J14" s="1400">
        <v>0</v>
      </c>
      <c r="K14" s="1401"/>
    </row>
    <row r="15" spans="1:12" x14ac:dyDescent="0.25">
      <c r="A15" s="1096" t="s">
        <v>2</v>
      </c>
      <c r="B15" s="1097"/>
      <c r="C15" s="1097"/>
      <c r="D15" s="1400">
        <f>(D13)*15%</f>
        <v>2201.3869500000001</v>
      </c>
      <c r="E15" s="1400"/>
      <c r="F15" s="1400">
        <f>(F13)*15%</f>
        <v>105.14475</v>
      </c>
      <c r="G15" s="1400"/>
      <c r="H15" s="1400">
        <v>0</v>
      </c>
      <c r="I15" s="1400"/>
      <c r="J15" s="1400">
        <f>+J13*0.15</f>
        <v>2374.9664999999995</v>
      </c>
      <c r="K15" s="1401"/>
    </row>
    <row r="16" spans="1:12" ht="16.5" thickBot="1" x14ac:dyDescent="0.3">
      <c r="A16" s="1098" t="s">
        <v>3</v>
      </c>
      <c r="B16" s="1099"/>
      <c r="C16" s="1099"/>
      <c r="D16" s="1437">
        <f>(D13)+D15</f>
        <v>16877.299950000001</v>
      </c>
      <c r="E16" s="1437"/>
      <c r="F16" s="1437">
        <f>(F13)+F15</f>
        <v>806.10975000000008</v>
      </c>
      <c r="G16" s="1437"/>
      <c r="H16" s="1437">
        <f>(H13-H14)+H15</f>
        <v>450</v>
      </c>
      <c r="I16" s="1437"/>
      <c r="J16" s="1437">
        <f>(J13-J14)+J15</f>
        <v>18208.076499999999</v>
      </c>
      <c r="K16" s="1438"/>
    </row>
    <row r="18" spans="4:11" x14ac:dyDescent="0.25">
      <c r="D18" s="1351"/>
      <c r="E18" s="1351"/>
      <c r="F18" s="40"/>
      <c r="G18" s="40"/>
      <c r="H18" s="1351"/>
      <c r="I18" s="1351"/>
      <c r="K18" s="40"/>
    </row>
    <row r="19" spans="4:11" x14ac:dyDescent="0.25">
      <c r="D19" s="1351"/>
      <c r="E19" s="1351"/>
      <c r="H19" s="1351"/>
      <c r="I19" s="1351"/>
    </row>
  </sheetData>
  <mergeCells count="28">
    <mergeCell ref="A6:K6"/>
    <mergeCell ref="A7:A8"/>
    <mergeCell ref="D7:E7"/>
    <mergeCell ref="F7:G7"/>
    <mergeCell ref="H7:I7"/>
    <mergeCell ref="J7:K7"/>
    <mergeCell ref="A14:C14"/>
    <mergeCell ref="D14:E14"/>
    <mergeCell ref="F14:G14"/>
    <mergeCell ref="H14:I14"/>
    <mergeCell ref="J14:K14"/>
    <mergeCell ref="A13:C13"/>
    <mergeCell ref="D13:E13"/>
    <mergeCell ref="F13:G13"/>
    <mergeCell ref="H13:I13"/>
    <mergeCell ref="J13:K13"/>
    <mergeCell ref="J15:K15"/>
    <mergeCell ref="A16:C16"/>
    <mergeCell ref="D16:E16"/>
    <mergeCell ref="F16:G16"/>
    <mergeCell ref="H16:I16"/>
    <mergeCell ref="J16:K16"/>
    <mergeCell ref="D18:E19"/>
    <mergeCell ref="H18:I19"/>
    <mergeCell ref="A15:C15"/>
    <mergeCell ref="D15:E15"/>
    <mergeCell ref="F15:G15"/>
    <mergeCell ref="H15:I15"/>
  </mergeCells>
  <conditionalFormatting sqref="E9:E12 G9:G12 I9:I12 K9:K12">
    <cfRule type="expression" dxfId="38" priority="4">
      <formula>D9=MIN($D9,$F9,$H9,$J9)</formula>
    </cfRule>
  </conditionalFormatting>
  <conditionalFormatting sqref="I9:I12">
    <cfRule type="expression" dxfId="37" priority="1">
      <formula>H9=""</formula>
    </cfRule>
    <cfRule type="expression" dxfId="36" priority="2">
      <formula>H9=MIN($D9,$F9,$J9)</formula>
    </cfRule>
  </conditionalFormatting>
  <pageMargins left="0.25" right="0.25" top="0.75" bottom="0.75" header="0.3" footer="0.3"/>
  <pageSetup orientation="landscape" r:id="rId1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B836B-E5BE-4854-A009-241A2D99E6B8}">
  <sheetPr codeName="Hoja148"/>
  <dimension ref="A2:L13"/>
  <sheetViews>
    <sheetView showGridLines="0" workbookViewId="0">
      <selection activeCell="A3" sqref="A3:K3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7.140625" style="34" bestFit="1" customWidth="1"/>
    <col min="4" max="4" width="11.140625" style="34" bestFit="1" customWidth="1"/>
    <col min="5" max="5" width="14" style="34" bestFit="1" customWidth="1"/>
    <col min="6" max="9" width="11.140625" style="34" hidden="1" customWidth="1"/>
    <col min="10" max="10" width="11.140625" style="34" bestFit="1" customWidth="1"/>
    <col min="11" max="11" width="14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2" spans="1:12" ht="16.5" thickBot="1" x14ac:dyDescent="0.3"/>
    <row r="3" spans="1:12" ht="16.5" thickBot="1" x14ac:dyDescent="0.3">
      <c r="A3" s="1100" t="s">
        <v>1</v>
      </c>
      <c r="B3" s="1101"/>
      <c r="C3" s="1101"/>
      <c r="D3" s="1101"/>
      <c r="E3" s="1101"/>
      <c r="F3" s="1101"/>
      <c r="G3" s="1101"/>
      <c r="H3" s="1101"/>
      <c r="I3" s="1101"/>
      <c r="J3" s="1101"/>
      <c r="K3" s="1102"/>
    </row>
    <row r="4" spans="1:12" x14ac:dyDescent="0.25">
      <c r="A4" s="1434" t="s">
        <v>6</v>
      </c>
      <c r="B4" s="505" t="s">
        <v>17</v>
      </c>
      <c r="C4" s="506" t="s">
        <v>765</v>
      </c>
      <c r="D4" s="1435" t="s">
        <v>53</v>
      </c>
      <c r="E4" s="1435"/>
      <c r="F4" s="1435" t="s">
        <v>52</v>
      </c>
      <c r="G4" s="1435"/>
      <c r="H4" s="1435" t="s">
        <v>51</v>
      </c>
      <c r="I4" s="1435"/>
      <c r="J4" s="1435" t="s">
        <v>49</v>
      </c>
      <c r="K4" s="1436"/>
    </row>
    <row r="5" spans="1:12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45" t="s">
        <v>10</v>
      </c>
      <c r="J5" s="45" t="s">
        <v>14</v>
      </c>
      <c r="K5" s="393" t="s">
        <v>10</v>
      </c>
    </row>
    <row r="6" spans="1:12" s="346" customFormat="1" ht="16.5" thickBot="1" x14ac:dyDescent="0.3">
      <c r="A6" s="1027">
        <v>1</v>
      </c>
      <c r="B6" s="507">
        <v>96</v>
      </c>
      <c r="C6" s="508" t="s">
        <v>746</v>
      </c>
      <c r="D6" s="510">
        <f>((76.06+341.92)/B6)*36.21</f>
        <v>157.65683125000001</v>
      </c>
      <c r="E6" s="510">
        <f>+D6*$B6</f>
        <v>15135.055800000002</v>
      </c>
      <c r="F6" s="510" t="s">
        <v>36</v>
      </c>
      <c r="G6" s="510" t="s">
        <v>36</v>
      </c>
      <c r="H6" s="510" t="s">
        <v>36</v>
      </c>
      <c r="I6" s="510" t="s">
        <v>36</v>
      </c>
      <c r="J6" s="510">
        <f>14287.1/B6</f>
        <v>148.82395833333334</v>
      </c>
      <c r="K6" s="511">
        <f>+J6*B6</f>
        <v>14287.1</v>
      </c>
      <c r="L6" s="351"/>
    </row>
    <row r="7" spans="1:12" x14ac:dyDescent="0.25">
      <c r="A7" s="1094" t="s">
        <v>4</v>
      </c>
      <c r="B7" s="1095"/>
      <c r="C7" s="1095"/>
      <c r="D7" s="1399">
        <f>SUM(E6:E6)</f>
        <v>15135.055800000002</v>
      </c>
      <c r="E7" s="1399"/>
      <c r="F7" s="1399">
        <f>SUM(G6:G6)</f>
        <v>0</v>
      </c>
      <c r="G7" s="1399"/>
      <c r="H7" s="1399">
        <f>SUM(I6:I6)</f>
        <v>0</v>
      </c>
      <c r="I7" s="1399"/>
      <c r="J7" s="1399">
        <f>SUM(K6:K6)</f>
        <v>14287.1</v>
      </c>
      <c r="K7" s="1403"/>
    </row>
    <row r="8" spans="1:12" x14ac:dyDescent="0.25">
      <c r="A8" s="1096" t="s">
        <v>5</v>
      </c>
      <c r="B8" s="1097"/>
      <c r="C8" s="1097"/>
      <c r="D8" s="1573">
        <v>0.3</v>
      </c>
      <c r="E8" s="1573"/>
      <c r="F8" s="1573">
        <v>0.25</v>
      </c>
      <c r="G8" s="1573"/>
      <c r="H8" s="1400">
        <v>0</v>
      </c>
      <c r="I8" s="1400"/>
      <c r="J8" s="1400">
        <v>0</v>
      </c>
      <c r="K8" s="1401"/>
    </row>
    <row r="9" spans="1:12" x14ac:dyDescent="0.25">
      <c r="A9" s="1096" t="s">
        <v>2</v>
      </c>
      <c r="B9" s="1097"/>
      <c r="C9" s="1097"/>
      <c r="D9" s="1400">
        <f>(D7)*15%</f>
        <v>2270.25837</v>
      </c>
      <c r="E9" s="1400"/>
      <c r="F9" s="1400">
        <f>(F7)*15%</f>
        <v>0</v>
      </c>
      <c r="G9" s="1400"/>
      <c r="H9" s="1400">
        <v>0</v>
      </c>
      <c r="I9" s="1400"/>
      <c r="J9" s="1400">
        <f>+J7*0.15</f>
        <v>2143.0650000000001</v>
      </c>
      <c r="K9" s="1401"/>
    </row>
    <row r="10" spans="1:12" ht="16.5" thickBot="1" x14ac:dyDescent="0.3">
      <c r="A10" s="1098" t="s">
        <v>3</v>
      </c>
      <c r="B10" s="1099"/>
      <c r="C10" s="1099"/>
      <c r="D10" s="1437">
        <f>(D7)+D9</f>
        <v>17405.314170000001</v>
      </c>
      <c r="E10" s="1437"/>
      <c r="F10" s="1437">
        <f>(F7)+F9</f>
        <v>0</v>
      </c>
      <c r="G10" s="1437"/>
      <c r="H10" s="1437">
        <f>(H7-H8)+H9</f>
        <v>0</v>
      </c>
      <c r="I10" s="1437"/>
      <c r="J10" s="1437">
        <f>(J7-J8)+J9</f>
        <v>16430.165000000001</v>
      </c>
      <c r="K10" s="1438"/>
    </row>
    <row r="12" spans="1:12" s="970" customFormat="1" x14ac:dyDescent="0.25">
      <c r="A12" s="34"/>
      <c r="B12" s="34"/>
      <c r="C12" s="34"/>
      <c r="D12" s="1351"/>
      <c r="E12" s="1351"/>
      <c r="F12" s="40"/>
      <c r="G12" s="40"/>
      <c r="H12" s="1351"/>
      <c r="I12" s="1351"/>
      <c r="J12" s="34"/>
      <c r="K12" s="40"/>
    </row>
    <row r="13" spans="1:12" s="970" customFormat="1" x14ac:dyDescent="0.25">
      <c r="A13" s="34"/>
      <c r="B13" s="34"/>
      <c r="C13" s="34"/>
      <c r="D13" s="1351"/>
      <c r="E13" s="1351"/>
      <c r="F13" s="34"/>
      <c r="G13" s="34"/>
      <c r="H13" s="1351"/>
      <c r="I13" s="1351"/>
      <c r="J13" s="34"/>
      <c r="K13" s="34"/>
    </row>
  </sheetData>
  <mergeCells count="28">
    <mergeCell ref="D12:E13"/>
    <mergeCell ref="H12:I13"/>
    <mergeCell ref="A9:C9"/>
    <mergeCell ref="D9:E9"/>
    <mergeCell ref="F9:G9"/>
    <mergeCell ref="H9:I9"/>
    <mergeCell ref="J9:K9"/>
    <mergeCell ref="A10:C10"/>
    <mergeCell ref="D10:E10"/>
    <mergeCell ref="F10:G10"/>
    <mergeCell ref="H10:I10"/>
    <mergeCell ref="J10:K10"/>
    <mergeCell ref="A7:C7"/>
    <mergeCell ref="D7:E7"/>
    <mergeCell ref="F7:G7"/>
    <mergeCell ref="H7:I7"/>
    <mergeCell ref="J7:K7"/>
    <mergeCell ref="A8:C8"/>
    <mergeCell ref="D8:E8"/>
    <mergeCell ref="F8:G8"/>
    <mergeCell ref="H8:I8"/>
    <mergeCell ref="J8:K8"/>
    <mergeCell ref="A3:K3"/>
    <mergeCell ref="A4:A5"/>
    <mergeCell ref="D4:E4"/>
    <mergeCell ref="F4:G4"/>
    <mergeCell ref="H4:I4"/>
    <mergeCell ref="J4:K4"/>
  </mergeCells>
  <conditionalFormatting sqref="E6 G6 I6 K6">
    <cfRule type="expression" dxfId="35" priority="3">
      <formula>D6=MIN($D6,$F6,$H6,$J6)</formula>
    </cfRule>
  </conditionalFormatting>
  <conditionalFormatting sqref="I6">
    <cfRule type="expression" dxfId="34" priority="1">
      <formula>H6=""</formula>
    </cfRule>
    <cfRule type="expression" dxfId="33" priority="2">
      <formula>H6=MIN($D6,$F6,$J6)</formula>
    </cfRule>
  </conditionalFormatting>
  <pageMargins left="0.25" right="0.25" top="0.75" bottom="0.75" header="0.3" footer="0.3"/>
  <pageSetup orientation="portrait" r:id="rId1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5817-31BC-43B8-B115-648E24B7E82B}">
  <sheetPr codeName="Hoja149"/>
  <dimension ref="A1:K30"/>
  <sheetViews>
    <sheetView showGridLines="0" workbookViewId="0">
      <selection activeCell="C18" sqref="C18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22.28515625" style="53" bestFit="1" customWidth="1"/>
    <col min="4" max="4" width="11.7109375" style="53" bestFit="1" customWidth="1"/>
    <col min="5" max="5" width="12.7109375" style="53" bestFit="1" customWidth="1"/>
    <col min="6" max="6" width="11.7109375" style="53" bestFit="1" customWidth="1"/>
    <col min="7" max="7" width="12.7109375" style="53" bestFit="1" customWidth="1"/>
    <col min="8" max="8" width="11.7109375" style="53" bestFit="1" customWidth="1"/>
    <col min="9" max="9" width="12.7109375" style="53" bestFit="1" customWidth="1"/>
    <col min="10" max="10" width="11.7109375" style="54" bestFit="1" customWidth="1"/>
    <col min="11" max="11" width="11.7109375" style="53" bestFit="1" customWidth="1"/>
    <col min="12" max="16384" width="11.42578125" style="53"/>
  </cols>
  <sheetData>
    <row r="1" spans="1:10" ht="15.75" thickBot="1" x14ac:dyDescent="0.3">
      <c r="A1" s="1115" t="s">
        <v>1</v>
      </c>
      <c r="B1" s="1127"/>
      <c r="C1" s="1127"/>
      <c r="D1" s="1128"/>
      <c r="E1" s="1128"/>
      <c r="F1" s="1128"/>
      <c r="G1" s="1128"/>
      <c r="H1" s="1128"/>
      <c r="I1" s="1116"/>
    </row>
    <row r="2" spans="1:10" ht="15.75" thickBot="1" x14ac:dyDescent="0.3">
      <c r="A2" s="1129" t="s">
        <v>6</v>
      </c>
      <c r="B2" s="55" t="s">
        <v>17</v>
      </c>
      <c r="C2" s="56" t="s">
        <v>773</v>
      </c>
      <c r="D2" s="1131" t="s">
        <v>67</v>
      </c>
      <c r="E2" s="1116"/>
      <c r="F2" s="1115" t="s">
        <v>66</v>
      </c>
      <c r="G2" s="1116"/>
      <c r="H2" s="1115" t="s">
        <v>782</v>
      </c>
      <c r="I2" s="1116"/>
    </row>
    <row r="3" spans="1:10" ht="15.75" thickBot="1" x14ac:dyDescent="0.3">
      <c r="A3" s="1130"/>
      <c r="B3" s="57" t="s">
        <v>11</v>
      </c>
      <c r="C3" s="58" t="s">
        <v>0</v>
      </c>
      <c r="D3" s="59" t="s">
        <v>14</v>
      </c>
      <c r="E3" s="1030" t="s">
        <v>10</v>
      </c>
      <c r="F3" s="59" t="s">
        <v>14</v>
      </c>
      <c r="G3" s="1030" t="s">
        <v>10</v>
      </c>
      <c r="H3" s="59" t="s">
        <v>14</v>
      </c>
      <c r="I3" s="61" t="s">
        <v>10</v>
      </c>
    </row>
    <row r="4" spans="1:10" s="69" customFormat="1" x14ac:dyDescent="0.25">
      <c r="A4" s="62">
        <v>1</v>
      </c>
      <c r="B4" s="63">
        <v>100</v>
      </c>
      <c r="C4" s="64" t="s">
        <v>774</v>
      </c>
      <c r="D4" s="65">
        <f>35.04/B4</f>
        <v>0.35039999999999999</v>
      </c>
      <c r="E4" s="66">
        <f>+D4*$B4</f>
        <v>35.04</v>
      </c>
      <c r="F4" s="65">
        <v>0.5</v>
      </c>
      <c r="G4" s="66">
        <f>+F4*$B4</f>
        <v>50</v>
      </c>
      <c r="H4" s="65" t="s">
        <v>36</v>
      </c>
      <c r="I4" s="67" t="s">
        <v>36</v>
      </c>
      <c r="J4" s="68"/>
    </row>
    <row r="5" spans="1:10" s="69" customFormat="1" x14ac:dyDescent="0.25">
      <c r="A5" s="70">
        <v>2</v>
      </c>
      <c r="B5" s="192">
        <v>3</v>
      </c>
      <c r="C5" s="193" t="s">
        <v>775</v>
      </c>
      <c r="D5" s="71">
        <v>46.586500000000001</v>
      </c>
      <c r="E5" s="66">
        <f t="shared" ref="E5:E7" si="0">+D5*$B5</f>
        <v>139.7595</v>
      </c>
      <c r="F5" s="71">
        <v>30</v>
      </c>
      <c r="G5" s="66">
        <f t="shared" ref="G5:G8" si="1">+F5*$B5</f>
        <v>90</v>
      </c>
      <c r="H5" s="71" t="s">
        <v>36</v>
      </c>
      <c r="I5" s="67" t="s">
        <v>36</v>
      </c>
      <c r="J5" s="68"/>
    </row>
    <row r="6" spans="1:10" s="69" customFormat="1" x14ac:dyDescent="0.25">
      <c r="A6" s="70">
        <v>3</v>
      </c>
      <c r="B6" s="192">
        <v>1</v>
      </c>
      <c r="C6" s="193" t="s">
        <v>776</v>
      </c>
      <c r="D6" s="71">
        <v>245.5453</v>
      </c>
      <c r="E6" s="66">
        <f t="shared" si="0"/>
        <v>245.5453</v>
      </c>
      <c r="F6" s="71">
        <v>265</v>
      </c>
      <c r="G6" s="66">
        <f t="shared" si="1"/>
        <v>265</v>
      </c>
      <c r="H6" s="71" t="s">
        <v>36</v>
      </c>
      <c r="I6" s="67" t="s">
        <v>36</v>
      </c>
      <c r="J6" s="68"/>
    </row>
    <row r="7" spans="1:10" s="69" customFormat="1" x14ac:dyDescent="0.25">
      <c r="A7" s="70">
        <v>4</v>
      </c>
      <c r="B7" s="1035">
        <v>1</v>
      </c>
      <c r="C7" s="193" t="s">
        <v>781</v>
      </c>
      <c r="D7" s="71">
        <v>273.05900000000003</v>
      </c>
      <c r="E7" s="66">
        <f t="shared" si="0"/>
        <v>273.05900000000003</v>
      </c>
      <c r="F7" s="71">
        <v>325</v>
      </c>
      <c r="G7" s="66">
        <f t="shared" si="1"/>
        <v>325</v>
      </c>
      <c r="H7" s="71">
        <v>290</v>
      </c>
      <c r="I7" s="67">
        <f>+H7*$B7</f>
        <v>290</v>
      </c>
      <c r="J7" s="68"/>
    </row>
    <row r="8" spans="1:10" s="69" customFormat="1" x14ac:dyDescent="0.25">
      <c r="A8" s="378">
        <v>5</v>
      </c>
      <c r="B8" s="379">
        <v>1</v>
      </c>
      <c r="C8" s="380" t="s">
        <v>777</v>
      </c>
      <c r="D8" s="71">
        <v>293.47649999999999</v>
      </c>
      <c r="E8" s="1033">
        <f>+D8*$B8</f>
        <v>293.47649999999999</v>
      </c>
      <c r="F8" s="71">
        <v>318</v>
      </c>
      <c r="G8" s="1033">
        <f t="shared" si="1"/>
        <v>318</v>
      </c>
      <c r="H8" s="71">
        <v>290</v>
      </c>
      <c r="I8" s="67">
        <f>+H8*$B8</f>
        <v>290</v>
      </c>
      <c r="J8" s="68"/>
    </row>
    <row r="9" spans="1:10" s="69" customFormat="1" ht="30" x14ac:dyDescent="0.25">
      <c r="A9" s="62">
        <v>6</v>
      </c>
      <c r="B9" s="192">
        <v>5</v>
      </c>
      <c r="C9" s="193" t="s">
        <v>778</v>
      </c>
      <c r="D9" s="65">
        <v>13.0068</v>
      </c>
      <c r="E9" s="66">
        <f t="shared" ref="E9:E10" si="2">+D9*$B9</f>
        <v>65.034000000000006</v>
      </c>
      <c r="F9" s="65">
        <v>23</v>
      </c>
      <c r="G9" s="66">
        <f t="shared" ref="G9:G11" si="3">+F9*$B9</f>
        <v>115</v>
      </c>
      <c r="H9" s="65">
        <v>24</v>
      </c>
      <c r="I9" s="67">
        <f>+H9*$B9</f>
        <v>120</v>
      </c>
      <c r="J9" s="68"/>
    </row>
    <row r="10" spans="1:10" s="69" customFormat="1" ht="30" x14ac:dyDescent="0.25">
      <c r="A10" s="70">
        <v>7</v>
      </c>
      <c r="B10" s="192">
        <v>5</v>
      </c>
      <c r="C10" s="193" t="s">
        <v>779</v>
      </c>
      <c r="D10" s="71">
        <v>13.0068</v>
      </c>
      <c r="E10" s="1033">
        <f t="shared" si="2"/>
        <v>65.034000000000006</v>
      </c>
      <c r="F10" s="71">
        <v>20</v>
      </c>
      <c r="G10" s="1033">
        <f t="shared" si="3"/>
        <v>100</v>
      </c>
      <c r="H10" s="71">
        <v>22</v>
      </c>
      <c r="I10" s="67">
        <f>+H10*$B10</f>
        <v>110</v>
      </c>
      <c r="J10" s="68"/>
    </row>
    <row r="11" spans="1:10" s="69" customFormat="1" ht="30" x14ac:dyDescent="0.25">
      <c r="A11" s="70">
        <v>8</v>
      </c>
      <c r="B11" s="379">
        <v>1</v>
      </c>
      <c r="C11" s="380" t="s">
        <v>780</v>
      </c>
      <c r="D11" s="71">
        <v>251.6799</v>
      </c>
      <c r="E11" s="66">
        <f>+D11*$B11</f>
        <v>251.6799</v>
      </c>
      <c r="F11" s="71">
        <v>250</v>
      </c>
      <c r="G11" s="66">
        <f t="shared" si="3"/>
        <v>250</v>
      </c>
      <c r="H11" s="71" t="s">
        <v>36</v>
      </c>
      <c r="I11" s="67" t="s">
        <v>36</v>
      </c>
      <c r="J11" s="68"/>
    </row>
    <row r="12" spans="1:10" s="69" customFormat="1" ht="15.75" thickBot="1" x14ac:dyDescent="0.3">
      <c r="A12" s="70">
        <v>9</v>
      </c>
      <c r="B12" s="1035">
        <v>1</v>
      </c>
      <c r="C12" s="380" t="s">
        <v>783</v>
      </c>
      <c r="D12" s="1036" t="s">
        <v>36</v>
      </c>
      <c r="E12" s="66" t="s">
        <v>36</v>
      </c>
      <c r="F12" s="1036" t="s">
        <v>36</v>
      </c>
      <c r="G12" s="66" t="s">
        <v>36</v>
      </c>
      <c r="H12" s="1036">
        <v>350</v>
      </c>
      <c r="I12" s="67">
        <f t="shared" ref="I12" si="4">+H12*$B12</f>
        <v>350</v>
      </c>
      <c r="J12" s="68"/>
    </row>
    <row r="13" spans="1:10" x14ac:dyDescent="0.25">
      <c r="A13" s="1132" t="s">
        <v>4</v>
      </c>
      <c r="B13" s="1133"/>
      <c r="C13" s="1134"/>
      <c r="D13" s="1117">
        <f>SUM(E4:E12)</f>
        <v>1368.6282000000003</v>
      </c>
      <c r="E13" s="1118"/>
      <c r="F13" s="1117">
        <f t="shared" ref="F13" si="5">SUM(G4:G12)</f>
        <v>1513</v>
      </c>
      <c r="G13" s="1118"/>
      <c r="H13" s="1117">
        <f t="shared" ref="H13" si="6">SUM(I4:I12)</f>
        <v>1160</v>
      </c>
      <c r="I13" s="1118"/>
    </row>
    <row r="14" spans="1:10" x14ac:dyDescent="0.25">
      <c r="A14" s="1123" t="s">
        <v>5</v>
      </c>
      <c r="B14" s="1124"/>
      <c r="C14" s="1125"/>
      <c r="D14" s="1119">
        <v>0</v>
      </c>
      <c r="E14" s="1120"/>
      <c r="F14" s="1119">
        <v>0</v>
      </c>
      <c r="G14" s="1120"/>
      <c r="H14" s="1119">
        <v>0</v>
      </c>
      <c r="I14" s="1120"/>
    </row>
    <row r="15" spans="1:10" x14ac:dyDescent="0.25">
      <c r="A15" s="1123" t="s">
        <v>2</v>
      </c>
      <c r="B15" s="1124"/>
      <c r="C15" s="1125"/>
      <c r="D15" s="1119">
        <f>(D13-D14)*15%</f>
        <v>205.29423000000006</v>
      </c>
      <c r="E15" s="1120"/>
      <c r="F15" s="1119">
        <v>0</v>
      </c>
      <c r="G15" s="1120"/>
      <c r="H15" s="1119">
        <f t="shared" ref="H15" si="7">(H13-H14)*15%</f>
        <v>174</v>
      </c>
      <c r="I15" s="1120"/>
    </row>
    <row r="16" spans="1:10" ht="15.75" thickBot="1" x14ac:dyDescent="0.3">
      <c r="A16" s="1109" t="s">
        <v>3</v>
      </c>
      <c r="B16" s="1110"/>
      <c r="C16" s="1111"/>
      <c r="D16" s="1112">
        <f>(D13-D14)+D15</f>
        <v>1573.9224300000003</v>
      </c>
      <c r="E16" s="1113"/>
      <c r="F16" s="1112">
        <f t="shared" ref="F16" si="8">(F13-F14)+F15</f>
        <v>1513</v>
      </c>
      <c r="G16" s="1113"/>
      <c r="H16" s="1112">
        <f t="shared" ref="H16" si="9">(H13-H14)+H15</f>
        <v>1334</v>
      </c>
      <c r="I16" s="1113"/>
    </row>
    <row r="17" spans="1:11" ht="15.75" thickBot="1" x14ac:dyDescent="0.3"/>
    <row r="18" spans="1:11" ht="15.75" thickBot="1" x14ac:dyDescent="0.3">
      <c r="A18" s="1129" t="s">
        <v>6</v>
      </c>
      <c r="B18" s="1037" t="s">
        <v>17</v>
      </c>
      <c r="C18" s="1038" t="s">
        <v>773</v>
      </c>
      <c r="D18" s="1674" t="s">
        <v>118</v>
      </c>
      <c r="E18" s="1675"/>
      <c r="F18" s="1676" t="s">
        <v>119</v>
      </c>
      <c r="G18" s="1675"/>
      <c r="H18" s="1676" t="s">
        <v>29</v>
      </c>
      <c r="I18" s="1675"/>
      <c r="J18" s="1115" t="s">
        <v>788</v>
      </c>
      <c r="K18" s="1116"/>
    </row>
    <row r="19" spans="1:11" ht="15.75" thickBot="1" x14ac:dyDescent="0.3">
      <c r="A19" s="1673"/>
      <c r="B19" s="772" t="s">
        <v>11</v>
      </c>
      <c r="C19" s="1032" t="s">
        <v>0</v>
      </c>
      <c r="D19" s="1032" t="s">
        <v>14</v>
      </c>
      <c r="E19" s="1032" t="s">
        <v>10</v>
      </c>
      <c r="F19" s="1032" t="s">
        <v>14</v>
      </c>
      <c r="G19" s="1032" t="s">
        <v>10</v>
      </c>
      <c r="H19" s="1032" t="s">
        <v>14</v>
      </c>
      <c r="I19" s="1032" t="s">
        <v>10</v>
      </c>
      <c r="J19" s="1039" t="s">
        <v>14</v>
      </c>
      <c r="K19" s="61" t="s">
        <v>10</v>
      </c>
    </row>
    <row r="20" spans="1:11" x14ac:dyDescent="0.25">
      <c r="A20" s="1040">
        <v>1</v>
      </c>
      <c r="B20" s="775">
        <v>1</v>
      </c>
      <c r="C20" s="193" t="s">
        <v>784</v>
      </c>
      <c r="D20" s="376" t="s">
        <v>36</v>
      </c>
      <c r="E20" s="376" t="s">
        <v>36</v>
      </c>
      <c r="F20" s="376" t="s">
        <v>36</v>
      </c>
      <c r="G20" s="376" t="s">
        <v>36</v>
      </c>
      <c r="H20" s="376" t="s">
        <v>36</v>
      </c>
      <c r="I20" s="376" t="s">
        <v>36</v>
      </c>
      <c r="J20" s="1041" t="s">
        <v>36</v>
      </c>
      <c r="K20" s="67" t="s">
        <v>36</v>
      </c>
    </row>
    <row r="21" spans="1:11" x14ac:dyDescent="0.25">
      <c r="A21" s="441">
        <v>2</v>
      </c>
      <c r="B21" s="775">
        <v>1</v>
      </c>
      <c r="C21" s="193" t="s">
        <v>785</v>
      </c>
      <c r="D21" s="376" t="s">
        <v>36</v>
      </c>
      <c r="E21" s="376" t="s">
        <v>36</v>
      </c>
      <c r="F21" s="376" t="s">
        <v>36</v>
      </c>
      <c r="G21" s="376" t="s">
        <v>36</v>
      </c>
      <c r="H21" s="376" t="s">
        <v>36</v>
      </c>
      <c r="I21" s="376" t="s">
        <v>36</v>
      </c>
      <c r="J21" s="1042">
        <v>452.17</v>
      </c>
      <c r="K21" s="67">
        <f>+J21*B21</f>
        <v>452.17</v>
      </c>
    </row>
    <row r="22" spans="1:11" x14ac:dyDescent="0.25">
      <c r="A22" s="441">
        <v>3</v>
      </c>
      <c r="B22" s="775">
        <v>1</v>
      </c>
      <c r="C22" s="193" t="s">
        <v>786</v>
      </c>
      <c r="D22" s="376" t="s">
        <v>36</v>
      </c>
      <c r="E22" s="376" t="s">
        <v>36</v>
      </c>
      <c r="F22" s="376">
        <v>135.72</v>
      </c>
      <c r="G22" s="376">
        <f>+F22*$B22</f>
        <v>135.72</v>
      </c>
      <c r="H22" s="376" t="s">
        <v>36</v>
      </c>
      <c r="I22" s="376" t="s">
        <v>36</v>
      </c>
      <c r="J22" s="1042">
        <v>374.79</v>
      </c>
      <c r="K22" s="67">
        <f>+J22*B22</f>
        <v>374.79</v>
      </c>
    </row>
    <row r="23" spans="1:11" ht="30.75" thickBot="1" x14ac:dyDescent="0.3">
      <c r="A23" s="1043">
        <v>4</v>
      </c>
      <c r="B23" s="1044">
        <v>2</v>
      </c>
      <c r="C23" s="380" t="s">
        <v>787</v>
      </c>
      <c r="D23" s="381">
        <v>6382.04</v>
      </c>
      <c r="E23" s="381">
        <f>+D23*$B23</f>
        <v>12764.08</v>
      </c>
      <c r="F23" s="381">
        <v>6942</v>
      </c>
      <c r="G23" s="381">
        <f>+F23*$B23</f>
        <v>13884</v>
      </c>
      <c r="H23" s="381">
        <f>189.27*TC!C3</f>
        <v>6755.9547960000009</v>
      </c>
      <c r="I23" s="381">
        <f>+H23*$B23</f>
        <v>13511.909592000002</v>
      </c>
      <c r="J23" s="1045">
        <v>4330.4399999999996</v>
      </c>
      <c r="K23" s="1046">
        <f t="shared" ref="K23" si="10">+J23*$B23</f>
        <v>8660.8799999999992</v>
      </c>
    </row>
    <row r="24" spans="1:11" x14ac:dyDescent="0.25">
      <c r="A24" s="1132" t="s">
        <v>4</v>
      </c>
      <c r="B24" s="1133"/>
      <c r="C24" s="1134"/>
      <c r="D24" s="1117">
        <f>SUM(E20:E23)</f>
        <v>12764.08</v>
      </c>
      <c r="E24" s="1118"/>
      <c r="F24" s="1117">
        <f>SUM(G20:G23)</f>
        <v>14019.72</v>
      </c>
      <c r="G24" s="1118"/>
      <c r="H24" s="1117">
        <f>SUM(I20:I23)</f>
        <v>13511.909592000002</v>
      </c>
      <c r="I24" s="1118"/>
      <c r="J24" s="1117">
        <f>SUM(K20:K23)</f>
        <v>9487.84</v>
      </c>
      <c r="K24" s="1135"/>
    </row>
    <row r="25" spans="1:11" x14ac:dyDescent="0.25">
      <c r="A25" s="1123" t="s">
        <v>5</v>
      </c>
      <c r="B25" s="1124"/>
      <c r="C25" s="1125"/>
      <c r="D25" s="1119">
        <v>0</v>
      </c>
      <c r="E25" s="1120"/>
      <c r="F25" s="1119">
        <v>0</v>
      </c>
      <c r="G25" s="1120"/>
      <c r="H25" s="1119">
        <v>0</v>
      </c>
      <c r="I25" s="1120"/>
      <c r="J25" s="1119">
        <v>0</v>
      </c>
      <c r="K25" s="1126"/>
    </row>
    <row r="26" spans="1:11" x14ac:dyDescent="0.25">
      <c r="A26" s="1123" t="s">
        <v>2</v>
      </c>
      <c r="B26" s="1124"/>
      <c r="C26" s="1125"/>
      <c r="D26" s="1119">
        <f>(D24-D25)*15%</f>
        <v>1914.6119999999999</v>
      </c>
      <c r="E26" s="1120"/>
      <c r="F26" s="1119">
        <f>+F24*0.15</f>
        <v>2102.9579999999996</v>
      </c>
      <c r="G26" s="1120"/>
      <c r="H26" s="1119">
        <f t="shared" ref="H26" si="11">(H24-H25)*15%</f>
        <v>2026.7864388000003</v>
      </c>
      <c r="I26" s="1120"/>
      <c r="J26" s="1119">
        <f t="shared" ref="J26" si="12">(J24-J25)*15%</f>
        <v>1423.1759999999999</v>
      </c>
      <c r="K26" s="1126"/>
    </row>
    <row r="27" spans="1:11" ht="15.75" thickBot="1" x14ac:dyDescent="0.3">
      <c r="A27" s="1109" t="s">
        <v>3</v>
      </c>
      <c r="B27" s="1110"/>
      <c r="C27" s="1111"/>
      <c r="D27" s="1112">
        <f>(D24-D25)+D26</f>
        <v>14678.691999999999</v>
      </c>
      <c r="E27" s="1113"/>
      <c r="F27" s="1112">
        <f t="shared" ref="F27" si="13">(F24-F25)+F26</f>
        <v>16122.678</v>
      </c>
      <c r="G27" s="1113"/>
      <c r="H27" s="1112">
        <f t="shared" ref="H27" si="14">(H24-H25)+H26</f>
        <v>15538.696030800002</v>
      </c>
      <c r="I27" s="1113"/>
      <c r="J27" s="1112">
        <f t="shared" ref="J27" si="15">(J24-J25)+J26</f>
        <v>10911.016</v>
      </c>
      <c r="K27" s="1114"/>
    </row>
    <row r="28" spans="1:11" x14ac:dyDescent="0.25">
      <c r="J28" s="54" t="s">
        <v>793</v>
      </c>
      <c r="K28" s="53" t="s">
        <v>794</v>
      </c>
    </row>
    <row r="29" spans="1:11" x14ac:dyDescent="0.25">
      <c r="J29" s="54" t="s">
        <v>789</v>
      </c>
      <c r="K29" s="53" t="s">
        <v>790</v>
      </c>
    </row>
    <row r="30" spans="1:11" x14ac:dyDescent="0.25">
      <c r="F30" s="53" t="s">
        <v>791</v>
      </c>
      <c r="G30" s="53" t="s">
        <v>792</v>
      </c>
      <c r="J30" s="54" t="s">
        <v>791</v>
      </c>
      <c r="K30" s="53" t="s">
        <v>792</v>
      </c>
    </row>
  </sheetData>
  <mergeCells count="46">
    <mergeCell ref="A13:C13"/>
    <mergeCell ref="D13:E13"/>
    <mergeCell ref="F13:G13"/>
    <mergeCell ref="H13:I13"/>
    <mergeCell ref="A1:I1"/>
    <mergeCell ref="A2:A3"/>
    <mergeCell ref="D2:E2"/>
    <mergeCell ref="F2:G2"/>
    <mergeCell ref="H2:I2"/>
    <mergeCell ref="A14:C14"/>
    <mergeCell ref="D14:E14"/>
    <mergeCell ref="F14:G14"/>
    <mergeCell ref="H14:I14"/>
    <mergeCell ref="A15:C15"/>
    <mergeCell ref="D15:E15"/>
    <mergeCell ref="F15:G15"/>
    <mergeCell ref="H15:I15"/>
    <mergeCell ref="A16:C16"/>
    <mergeCell ref="D16:E16"/>
    <mergeCell ref="F16:G16"/>
    <mergeCell ref="H16:I16"/>
    <mergeCell ref="A18:A19"/>
    <mergeCell ref="D18:E18"/>
    <mergeCell ref="F18:G18"/>
    <mergeCell ref="H18:I18"/>
    <mergeCell ref="A24:C24"/>
    <mergeCell ref="D24:E24"/>
    <mergeCell ref="F24:G24"/>
    <mergeCell ref="H24:I24"/>
    <mergeCell ref="A25:C25"/>
    <mergeCell ref="D25:E25"/>
    <mergeCell ref="F25:G25"/>
    <mergeCell ref="H25:I25"/>
    <mergeCell ref="A26:C26"/>
    <mergeCell ref="D26:E26"/>
    <mergeCell ref="F26:G26"/>
    <mergeCell ref="H26:I26"/>
    <mergeCell ref="A27:C27"/>
    <mergeCell ref="D27:E27"/>
    <mergeCell ref="F27:G27"/>
    <mergeCell ref="H27:I27"/>
    <mergeCell ref="J18:K18"/>
    <mergeCell ref="J24:K24"/>
    <mergeCell ref="J25:K25"/>
    <mergeCell ref="J26:K26"/>
    <mergeCell ref="J27:K27"/>
  </mergeCells>
  <phoneticPr fontId="68" type="noConversion"/>
  <conditionalFormatting sqref="E4:E12 I20:I21 K20:K21 E20:E21 G20:G21">
    <cfRule type="expression" dxfId="32" priority="11">
      <formula>D4=""</formula>
    </cfRule>
    <cfRule type="expression" dxfId="31" priority="12">
      <formula>D4=MIN($D4,$F4,$H4)</formula>
    </cfRule>
  </conditionalFormatting>
  <conditionalFormatting sqref="G4:G12">
    <cfRule type="expression" dxfId="30" priority="9">
      <formula>F4=""</formula>
    </cfRule>
    <cfRule type="expression" dxfId="29" priority="10">
      <formula>F4=MIN($D4,$F4,$H4)</formula>
    </cfRule>
  </conditionalFormatting>
  <conditionalFormatting sqref="I4:I12">
    <cfRule type="expression" dxfId="28" priority="7">
      <formula>H4=""</formula>
    </cfRule>
    <cfRule type="expression" dxfId="27" priority="8">
      <formula>H4=MIN($D4,$F4,$H4)</formula>
    </cfRule>
  </conditionalFormatting>
  <pageMargins left="0.25" right="0.25" top="0.75" bottom="0.75" header="0.3" footer="0.3"/>
  <pageSetup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B745C-30B9-4595-976D-B8CE7B3364FF}">
  <sheetPr codeName="Hoja15"/>
  <dimension ref="B2:K13"/>
  <sheetViews>
    <sheetView showGridLines="0" workbookViewId="0">
      <selection activeCell="E13" sqref="E13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4.140625" style="1" bestFit="1" customWidth="1"/>
    <col min="10" max="10" width="15.425781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129</v>
      </c>
      <c r="E4" s="1252" t="s">
        <v>132</v>
      </c>
      <c r="F4" s="1251"/>
      <c r="G4" s="1248" t="s">
        <v>133</v>
      </c>
      <c r="H4" s="1251"/>
      <c r="I4" s="1248" t="s">
        <v>134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218" t="s">
        <v>10</v>
      </c>
      <c r="G5" s="31" t="s">
        <v>14</v>
      </c>
      <c r="H5" s="218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2</v>
      </c>
      <c r="D6" s="9" t="s">
        <v>130</v>
      </c>
      <c r="E6" s="24">
        <f>5912.79/C6</f>
        <v>2956.395</v>
      </c>
      <c r="F6" s="23">
        <f>+E6*C6</f>
        <v>5912.79</v>
      </c>
      <c r="G6" s="24">
        <f>99.99*35.89</f>
        <v>3588.6410999999998</v>
      </c>
      <c r="H6" s="23">
        <f>+G6*C6</f>
        <v>7177.2821999999996</v>
      </c>
      <c r="I6" s="24">
        <v>2816.35</v>
      </c>
      <c r="J6" s="27">
        <f>+I6*C6</f>
        <v>5632.7</v>
      </c>
      <c r="K6" s="7"/>
    </row>
    <row r="7" spans="2:11" s="3" customFormat="1" ht="18" thickBot="1" x14ac:dyDescent="0.35">
      <c r="B7" s="20">
        <v>2</v>
      </c>
      <c r="C7" s="17">
        <v>3</v>
      </c>
      <c r="D7" s="8" t="s">
        <v>131</v>
      </c>
      <c r="E7" s="25">
        <f>15605.51/C7</f>
        <v>5201.836666666667</v>
      </c>
      <c r="F7" s="23">
        <f t="shared" ref="F7" si="0">+E7*C7</f>
        <v>15605.510000000002</v>
      </c>
      <c r="G7" s="25">
        <f>190*35.89</f>
        <v>6819.1</v>
      </c>
      <c r="H7" s="23">
        <f t="shared" ref="H7" si="1">+G7*C7</f>
        <v>20457.300000000003</v>
      </c>
      <c r="I7" s="25">
        <v>6238.75</v>
      </c>
      <c r="J7" s="27">
        <f t="shared" ref="J7" si="2">+I7*C7</f>
        <v>18716.25</v>
      </c>
      <c r="K7" s="7"/>
    </row>
    <row r="8" spans="2:11" x14ac:dyDescent="0.3">
      <c r="B8" s="1217" t="s">
        <v>4</v>
      </c>
      <c r="C8" s="1218"/>
      <c r="D8" s="1219"/>
      <c r="E8" s="1245">
        <f>SUM(F6:F7)</f>
        <v>21518.300000000003</v>
      </c>
      <c r="F8" s="1246"/>
      <c r="G8" s="1245">
        <f>SUM(H6:H7)</f>
        <v>27634.582200000004</v>
      </c>
      <c r="H8" s="1246"/>
      <c r="I8" s="1245">
        <f>SUM(J6:J7)</f>
        <v>24348.95</v>
      </c>
      <c r="J8" s="1247"/>
    </row>
    <row r="9" spans="2:11" x14ac:dyDescent="0.3">
      <c r="B9" s="1205" t="s">
        <v>5</v>
      </c>
      <c r="C9" s="1206"/>
      <c r="D9" s="1207"/>
      <c r="E9" s="1283">
        <v>0.04</v>
      </c>
      <c r="F9" s="1284"/>
      <c r="G9" s="1242">
        <v>0</v>
      </c>
      <c r="H9" s="1243"/>
      <c r="I9" s="1242">
        <v>0</v>
      </c>
      <c r="J9" s="1244"/>
    </row>
    <row r="10" spans="2:11" x14ac:dyDescent="0.3">
      <c r="B10" s="1208" t="s">
        <v>2</v>
      </c>
      <c r="C10" s="1209"/>
      <c r="D10" s="1210"/>
      <c r="E10" s="1242">
        <f>(E8)*15%</f>
        <v>3227.7450000000003</v>
      </c>
      <c r="F10" s="1243"/>
      <c r="G10" s="1242">
        <f>(G8-G9)*15%</f>
        <v>4145.1873300000007</v>
      </c>
      <c r="H10" s="1243"/>
      <c r="I10" s="1242">
        <f>(I8-I9)*15%</f>
        <v>3652.3425000000002</v>
      </c>
      <c r="J10" s="1244"/>
    </row>
    <row r="11" spans="2:11" ht="18" thickBot="1" x14ac:dyDescent="0.35">
      <c r="B11" s="1202" t="s">
        <v>3</v>
      </c>
      <c r="C11" s="1203"/>
      <c r="D11" s="1204"/>
      <c r="E11" s="1253">
        <f>(E8)+E10</f>
        <v>24746.045000000002</v>
      </c>
      <c r="F11" s="1254"/>
      <c r="G11" s="1253">
        <f>(G8-G9)+G10</f>
        <v>31779.769530000005</v>
      </c>
      <c r="H11" s="1254"/>
      <c r="I11" s="1253">
        <f>(I8-I9)+I10</f>
        <v>28001.2925</v>
      </c>
      <c r="J11" s="1255"/>
    </row>
    <row r="13" spans="2:11" x14ac:dyDescent="0.3">
      <c r="F13" s="4"/>
      <c r="G13" s="4"/>
      <c r="H13" s="4"/>
      <c r="J13" s="4"/>
    </row>
  </sheetData>
  <mergeCells count="21">
    <mergeCell ref="B8:D8"/>
    <mergeCell ref="E8:F8"/>
    <mergeCell ref="G8:H8"/>
    <mergeCell ref="I8:J8"/>
    <mergeCell ref="B3:J3"/>
    <mergeCell ref="B4:B5"/>
    <mergeCell ref="E4:F4"/>
    <mergeCell ref="G4:H4"/>
    <mergeCell ref="I4:J4"/>
    <mergeCell ref="B11:D11"/>
    <mergeCell ref="E11:F11"/>
    <mergeCell ref="G11:H11"/>
    <mergeCell ref="I11:J11"/>
    <mergeCell ref="B9:D9"/>
    <mergeCell ref="E9:F9"/>
    <mergeCell ref="G9:H9"/>
    <mergeCell ref="I9:J9"/>
    <mergeCell ref="B10:D10"/>
    <mergeCell ref="E10:F10"/>
    <mergeCell ref="G10:H10"/>
    <mergeCell ref="I10:J10"/>
  </mergeCells>
  <conditionalFormatting sqref="F6:F7 H6:H7 J6:J7">
    <cfRule type="expression" dxfId="502" priority="5">
      <formula>E6=""</formula>
    </cfRule>
    <cfRule type="expression" dxfId="501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0C1C7-02A1-4EBD-B269-F6FAF4DEF9E3}">
  <sheetPr codeName="Hoja150"/>
  <dimension ref="B3:M14"/>
  <sheetViews>
    <sheetView showGridLines="0" workbookViewId="0">
      <selection activeCell="C7" sqref="C7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" style="2" bestFit="1" customWidth="1"/>
    <col min="5" max="5" width="12.28515625" style="2" bestFit="1" customWidth="1"/>
    <col min="6" max="6" width="14.140625" style="2" bestFit="1" customWidth="1"/>
    <col min="7" max="7" width="11" style="2" bestFit="1" customWidth="1"/>
    <col min="8" max="8" width="14.140625" style="2" bestFit="1" customWidth="1"/>
    <col min="9" max="9" width="12.28515625" style="2" bestFit="1" customWidth="1"/>
    <col min="10" max="10" width="14.140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3" spans="2:13" ht="18" thickBot="1" x14ac:dyDescent="0.3"/>
    <row r="4" spans="2:13" ht="18" thickBot="1" x14ac:dyDescent="0.3">
      <c r="B4" s="1248" t="s">
        <v>1</v>
      </c>
      <c r="C4" s="1249"/>
      <c r="D4" s="1249"/>
      <c r="E4" s="1250"/>
      <c r="F4" s="1250"/>
      <c r="G4" s="1250"/>
      <c r="H4" s="1250"/>
      <c r="I4" s="1250"/>
      <c r="J4" s="1251"/>
    </row>
    <row r="5" spans="2:13" ht="18" thickBot="1" x14ac:dyDescent="0.3">
      <c r="B5" s="1215" t="s">
        <v>6</v>
      </c>
      <c r="C5" s="29" t="s">
        <v>17</v>
      </c>
      <c r="D5" s="30" t="s">
        <v>795</v>
      </c>
      <c r="E5" s="1252" t="s">
        <v>566</v>
      </c>
      <c r="F5" s="1251"/>
      <c r="G5" s="1248" t="s">
        <v>593</v>
      </c>
      <c r="H5" s="1251"/>
      <c r="I5" s="1248" t="s">
        <v>438</v>
      </c>
      <c r="J5" s="1251"/>
    </row>
    <row r="6" spans="2:13" ht="18" thickBot="1" x14ac:dyDescent="0.3">
      <c r="B6" s="1216"/>
      <c r="C6" s="33" t="s">
        <v>11</v>
      </c>
      <c r="D6" s="21" t="s">
        <v>0</v>
      </c>
      <c r="E6" s="31" t="s">
        <v>14</v>
      </c>
      <c r="F6" s="1031" t="s">
        <v>10</v>
      </c>
      <c r="G6" s="31" t="s">
        <v>14</v>
      </c>
      <c r="H6" s="1031" t="s">
        <v>10</v>
      </c>
      <c r="I6" s="31" t="s">
        <v>14</v>
      </c>
      <c r="J6" s="32" t="s">
        <v>10</v>
      </c>
    </row>
    <row r="7" spans="2:13" s="157" customFormat="1" ht="35.25" thickBot="1" x14ac:dyDescent="0.3">
      <c r="B7" s="19">
        <v>1</v>
      </c>
      <c r="C7" s="158">
        <v>50</v>
      </c>
      <c r="D7" s="159" t="s">
        <v>796</v>
      </c>
      <c r="E7" s="160">
        <f>5250/C7</f>
        <v>105</v>
      </c>
      <c r="F7" s="161">
        <f>+E7*C7</f>
        <v>5250</v>
      </c>
      <c r="G7" s="160">
        <v>85</v>
      </c>
      <c r="H7" s="210">
        <f>+G7*C7</f>
        <v>4250</v>
      </c>
      <c r="I7" s="160">
        <f>5889/C7</f>
        <v>117.78</v>
      </c>
      <c r="J7" s="162">
        <f>+I7*C7</f>
        <v>5889</v>
      </c>
      <c r="K7" s="163"/>
    </row>
    <row r="8" spans="2:13" x14ac:dyDescent="0.25">
      <c r="B8" s="1217" t="s">
        <v>4</v>
      </c>
      <c r="C8" s="1218"/>
      <c r="D8" s="1219"/>
      <c r="E8" s="1245">
        <f>SUM(F7:F7)</f>
        <v>5250</v>
      </c>
      <c r="F8" s="1246"/>
      <c r="G8" s="1245">
        <f>SUM(H7:H7)</f>
        <v>4250</v>
      </c>
      <c r="H8" s="1246"/>
      <c r="I8" s="1245">
        <f>SUM(J7:J7)</f>
        <v>5889</v>
      </c>
      <c r="J8" s="1247"/>
    </row>
    <row r="9" spans="2:13" x14ac:dyDescent="0.25">
      <c r="B9" s="1205" t="s">
        <v>5</v>
      </c>
      <c r="C9" s="1206"/>
      <c r="D9" s="1207"/>
      <c r="E9" s="1242">
        <v>0</v>
      </c>
      <c r="F9" s="1243"/>
      <c r="G9" s="1283">
        <v>0</v>
      </c>
      <c r="H9" s="1284"/>
      <c r="I9" s="1242">
        <v>0</v>
      </c>
      <c r="J9" s="1244"/>
    </row>
    <row r="10" spans="2:13" x14ac:dyDescent="0.25">
      <c r="B10" s="1205" t="s">
        <v>2</v>
      </c>
      <c r="C10" s="1206"/>
      <c r="D10" s="1207"/>
      <c r="E10" s="1242">
        <f>(E8-E9)*15%</f>
        <v>787.5</v>
      </c>
      <c r="F10" s="1243"/>
      <c r="G10" s="1242">
        <f>(G8)*15%</f>
        <v>637.5</v>
      </c>
      <c r="H10" s="1243"/>
      <c r="I10" s="1242">
        <f>(I8-I9)*15%</f>
        <v>883.35</v>
      </c>
      <c r="J10" s="1244"/>
    </row>
    <row r="11" spans="2:13" ht="18" thickBot="1" x14ac:dyDescent="0.3">
      <c r="B11" s="1236" t="s">
        <v>3</v>
      </c>
      <c r="C11" s="1237"/>
      <c r="D11" s="1238"/>
      <c r="E11" s="1239">
        <f>(E8-E9)+E10</f>
        <v>6037.5</v>
      </c>
      <c r="F11" s="1240"/>
      <c r="G11" s="1239">
        <f>(G8)+G10</f>
        <v>4887.5</v>
      </c>
      <c r="H11" s="1240"/>
      <c r="I11" s="1239">
        <f>(I8-I9)+I10</f>
        <v>6772.35</v>
      </c>
      <c r="J11" s="1241"/>
      <c r="M11" s="973"/>
    </row>
    <row r="13" spans="2:13" x14ac:dyDescent="0.25">
      <c r="E13" s="303"/>
      <c r="F13" s="164"/>
      <c r="G13" s="974"/>
      <c r="H13" s="164"/>
      <c r="I13" s="164"/>
      <c r="J13" s="975"/>
    </row>
    <row r="14" spans="2:13" x14ac:dyDescent="0.25">
      <c r="H14" s="164"/>
      <c r="J14" s="164"/>
    </row>
  </sheetData>
  <mergeCells count="21">
    <mergeCell ref="B8:D8"/>
    <mergeCell ref="E8:F8"/>
    <mergeCell ref="G8:H8"/>
    <mergeCell ref="I8:J8"/>
    <mergeCell ref="B4:J4"/>
    <mergeCell ref="B5:B6"/>
    <mergeCell ref="E5:F5"/>
    <mergeCell ref="G5:H5"/>
    <mergeCell ref="I5:J5"/>
    <mergeCell ref="B11:D11"/>
    <mergeCell ref="E11:F11"/>
    <mergeCell ref="G11:H11"/>
    <mergeCell ref="I11:J11"/>
    <mergeCell ref="B9:D9"/>
    <mergeCell ref="E9:F9"/>
    <mergeCell ref="G9:H9"/>
    <mergeCell ref="I9:J9"/>
    <mergeCell ref="B10:D10"/>
    <mergeCell ref="E10:F10"/>
    <mergeCell ref="G10:H10"/>
    <mergeCell ref="I10:J10"/>
  </mergeCells>
  <conditionalFormatting sqref="F7 J7 H7">
    <cfRule type="expression" dxfId="26" priority="1">
      <formula>E7=""</formula>
    </cfRule>
    <cfRule type="expression" dxfId="25" priority="2">
      <formula>E7=MIN($E7,$I7,#REF!)</formula>
    </cfRule>
  </conditionalFormatting>
  <pageMargins left="0.25" right="0.25" top="0.75" bottom="0.75" header="0.3" footer="0.3"/>
  <pageSetup orientation="landscape" r:id="rId1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5AA2-1397-4BC8-9A59-0F543BEE263B}">
  <sheetPr codeName="Hoja151"/>
  <dimension ref="B2:M13"/>
  <sheetViews>
    <sheetView showGridLines="0" workbookViewId="0">
      <selection activeCell="D6" sqref="D6"/>
    </sheetView>
  </sheetViews>
  <sheetFormatPr baseColWidth="10" defaultRowHeight="15.75" x14ac:dyDescent="0.25"/>
  <cols>
    <col min="1" max="1" width="11.42578125" style="34"/>
    <col min="2" max="2" width="3" style="34" bestFit="1" customWidth="1"/>
    <col min="3" max="3" width="6.28515625" style="34" bestFit="1" customWidth="1"/>
    <col min="4" max="4" width="17.140625" style="34" bestFit="1" customWidth="1"/>
    <col min="5" max="5" width="12.85546875" style="34" bestFit="1" customWidth="1"/>
    <col min="6" max="6" width="14" style="34" bestFit="1" customWidth="1"/>
    <col min="7" max="10" width="11.140625" style="34" hidden="1" customWidth="1"/>
    <col min="11" max="11" width="12.85546875" style="34" bestFit="1" customWidth="1"/>
    <col min="12" max="12" width="14" style="34" bestFit="1" customWidth="1"/>
    <col min="13" max="13" width="2.140625" style="970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1"/>
      <c r="K3" s="1101"/>
      <c r="L3" s="1102"/>
    </row>
    <row r="4" spans="2:13" x14ac:dyDescent="0.25">
      <c r="B4" s="1434" t="s">
        <v>6</v>
      </c>
      <c r="C4" s="505" t="s">
        <v>17</v>
      </c>
      <c r="D4" s="506" t="s">
        <v>797</v>
      </c>
      <c r="E4" s="1435" t="s">
        <v>757</v>
      </c>
      <c r="F4" s="1435"/>
      <c r="G4" s="1435" t="s">
        <v>52</v>
      </c>
      <c r="H4" s="1435"/>
      <c r="I4" s="1435" t="s">
        <v>51</v>
      </c>
      <c r="J4" s="1435"/>
      <c r="K4" s="1435" t="s">
        <v>49</v>
      </c>
      <c r="L4" s="1436"/>
    </row>
    <row r="5" spans="2:13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45" t="s">
        <v>10</v>
      </c>
      <c r="K5" s="45" t="s">
        <v>14</v>
      </c>
      <c r="L5" s="393" t="s">
        <v>10</v>
      </c>
    </row>
    <row r="6" spans="2:13" s="346" customFormat="1" ht="32.25" thickBot="1" x14ac:dyDescent="0.3">
      <c r="B6" s="1034">
        <v>1</v>
      </c>
      <c r="C6" s="507">
        <v>1</v>
      </c>
      <c r="D6" s="508" t="s">
        <v>798</v>
      </c>
      <c r="E6" s="510">
        <v>2259.7199999999998</v>
      </c>
      <c r="F6" s="510">
        <f>+E6*$C6</f>
        <v>2259.7199999999998</v>
      </c>
      <c r="G6" s="510" t="s">
        <v>36</v>
      </c>
      <c r="H6" s="510" t="s">
        <v>36</v>
      </c>
      <c r="I6" s="510" t="s">
        <v>36</v>
      </c>
      <c r="J6" s="510" t="s">
        <v>36</v>
      </c>
      <c r="K6" s="510">
        <v>3458.83</v>
      </c>
      <c r="L6" s="511">
        <f>+K6*C6</f>
        <v>3458.83</v>
      </c>
      <c r="M6" s="351"/>
    </row>
    <row r="7" spans="2:13" x14ac:dyDescent="0.25">
      <c r="B7" s="1094" t="s">
        <v>4</v>
      </c>
      <c r="C7" s="1095"/>
      <c r="D7" s="1095"/>
      <c r="E7" s="1399">
        <f>SUM(F6:F6)</f>
        <v>2259.7199999999998</v>
      </c>
      <c r="F7" s="1399"/>
      <c r="G7" s="1399">
        <f>SUM(H6:H6)</f>
        <v>0</v>
      </c>
      <c r="H7" s="1399"/>
      <c r="I7" s="1399">
        <f>SUM(J6:J6)</f>
        <v>0</v>
      </c>
      <c r="J7" s="1399"/>
      <c r="K7" s="1399">
        <f>SUM(L6:L6)</f>
        <v>3458.83</v>
      </c>
      <c r="L7" s="1403"/>
    </row>
    <row r="8" spans="2:13" x14ac:dyDescent="0.25">
      <c r="B8" s="1096" t="s">
        <v>5</v>
      </c>
      <c r="C8" s="1097"/>
      <c r="D8" s="1097"/>
      <c r="E8" s="1573">
        <v>0</v>
      </c>
      <c r="F8" s="1573"/>
      <c r="G8" s="1573">
        <v>0.25</v>
      </c>
      <c r="H8" s="1573"/>
      <c r="I8" s="1400">
        <v>0</v>
      </c>
      <c r="J8" s="1400"/>
      <c r="K8" s="1400">
        <v>0</v>
      </c>
      <c r="L8" s="1401"/>
    </row>
    <row r="9" spans="2:13" x14ac:dyDescent="0.25">
      <c r="B9" s="1096" t="s">
        <v>2</v>
      </c>
      <c r="C9" s="1097"/>
      <c r="D9" s="1097"/>
      <c r="E9" s="1400">
        <f>(E7)*15%</f>
        <v>338.95799999999997</v>
      </c>
      <c r="F9" s="1400"/>
      <c r="G9" s="1400">
        <f>(G7)*15%</f>
        <v>0</v>
      </c>
      <c r="H9" s="1400"/>
      <c r="I9" s="1400">
        <v>0</v>
      </c>
      <c r="J9" s="1400"/>
      <c r="K9" s="1400">
        <f>+K7*0.15</f>
        <v>518.82449999999994</v>
      </c>
      <c r="L9" s="1401"/>
    </row>
    <row r="10" spans="2:13" ht="16.5" thickBot="1" x14ac:dyDescent="0.3">
      <c r="B10" s="1098" t="s">
        <v>3</v>
      </c>
      <c r="C10" s="1099"/>
      <c r="D10" s="1099"/>
      <c r="E10" s="1437">
        <f>(E7)+E9</f>
        <v>2598.6779999999999</v>
      </c>
      <c r="F10" s="1437"/>
      <c r="G10" s="1437">
        <f>(G7)+G9</f>
        <v>0</v>
      </c>
      <c r="H10" s="1437"/>
      <c r="I10" s="1437">
        <f>(I7-I8)+I9</f>
        <v>0</v>
      </c>
      <c r="J10" s="1437"/>
      <c r="K10" s="1437">
        <f>(K7-K8)+K9</f>
        <v>3977.6544999999996</v>
      </c>
      <c r="L10" s="1438"/>
    </row>
    <row r="12" spans="2:13" s="970" customFormat="1" x14ac:dyDescent="0.25">
      <c r="B12" s="34"/>
      <c r="C12" s="34"/>
      <c r="D12" s="34"/>
      <c r="E12" s="1056" t="s">
        <v>799</v>
      </c>
      <c r="F12" s="1056"/>
      <c r="G12" s="40"/>
      <c r="H12" s="40"/>
      <c r="I12" s="1351"/>
      <c r="J12" s="1351"/>
      <c r="K12" s="34" t="s">
        <v>799</v>
      </c>
      <c r="L12" s="40"/>
    </row>
    <row r="13" spans="2:13" s="970" customFormat="1" x14ac:dyDescent="0.25">
      <c r="B13" s="34"/>
      <c r="C13" s="34"/>
      <c r="D13" s="34"/>
      <c r="E13" s="1056"/>
      <c r="F13" s="1056"/>
      <c r="G13" s="34"/>
      <c r="H13" s="34"/>
      <c r="I13" s="1351"/>
      <c r="J13" s="1351"/>
      <c r="K13" s="34"/>
      <c r="L13" s="34"/>
    </row>
  </sheetData>
  <mergeCells count="27">
    <mergeCell ref="I12:J13"/>
    <mergeCell ref="B9:D9"/>
    <mergeCell ref="E9:F9"/>
    <mergeCell ref="G9:H9"/>
    <mergeCell ref="I9:J9"/>
    <mergeCell ref="K9:L9"/>
    <mergeCell ref="B10:D10"/>
    <mergeCell ref="E10:F10"/>
    <mergeCell ref="G10:H10"/>
    <mergeCell ref="I10:J10"/>
    <mergeCell ref="K10:L10"/>
    <mergeCell ref="B7:D7"/>
    <mergeCell ref="E7:F7"/>
    <mergeCell ref="G7:H7"/>
    <mergeCell ref="I7:J7"/>
    <mergeCell ref="K7:L7"/>
    <mergeCell ref="B8:D8"/>
    <mergeCell ref="E8:F8"/>
    <mergeCell ref="G8:H8"/>
    <mergeCell ref="I8:J8"/>
    <mergeCell ref="K8:L8"/>
    <mergeCell ref="B3:L3"/>
    <mergeCell ref="B4:B5"/>
    <mergeCell ref="E4:F4"/>
    <mergeCell ref="G4:H4"/>
    <mergeCell ref="I4:J4"/>
    <mergeCell ref="K4:L4"/>
  </mergeCells>
  <conditionalFormatting sqref="F6 H6 J6 L6">
    <cfRule type="expression" dxfId="24" priority="3">
      <formula>E6=MIN($E6,$G6,$I6,$K6)</formula>
    </cfRule>
  </conditionalFormatting>
  <conditionalFormatting sqref="J6">
    <cfRule type="expression" dxfId="23" priority="1">
      <formula>I6=""</formula>
    </cfRule>
    <cfRule type="expression" dxfId="22" priority="2">
      <formula>I6=MIN($E6,$G6,$K6)</formula>
    </cfRule>
  </conditionalFormatting>
  <pageMargins left="0.25" right="0.25" top="0.75" bottom="0.75" header="0.3" footer="0.3"/>
  <pageSetup orientation="portrait" r:id="rId1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13737-56B9-4139-80FD-2E6BB82F318F}">
  <sheetPr codeName="Hoja152"/>
  <dimension ref="A2:O15"/>
  <sheetViews>
    <sheetView showGridLines="0" workbookViewId="0">
      <selection activeCell="A3" sqref="A3:N3"/>
    </sheetView>
  </sheetViews>
  <sheetFormatPr baseColWidth="10" defaultRowHeight="12" x14ac:dyDescent="0.2"/>
  <cols>
    <col min="1" max="1" width="2.42578125" style="1068" bestFit="1" customWidth="1"/>
    <col min="2" max="2" width="4.85546875" style="1068" bestFit="1" customWidth="1"/>
    <col min="3" max="3" width="13" style="1068" bestFit="1" customWidth="1"/>
    <col min="4" max="4" width="9.85546875" style="1068" bestFit="1" customWidth="1"/>
    <col min="5" max="5" width="10.7109375" style="1068" bestFit="1" customWidth="1"/>
    <col min="6" max="6" width="9.85546875" style="1068" bestFit="1" customWidth="1"/>
    <col min="7" max="7" width="10.7109375" style="1068" bestFit="1" customWidth="1"/>
    <col min="8" max="8" width="9.85546875" style="1068" bestFit="1" customWidth="1"/>
    <col min="9" max="9" width="10.7109375" style="1068" bestFit="1" customWidth="1"/>
    <col min="10" max="10" width="9.85546875" style="1068" bestFit="1" customWidth="1"/>
    <col min="11" max="11" width="10.7109375" style="1068" bestFit="1" customWidth="1"/>
    <col min="12" max="12" width="4.85546875" style="1068" bestFit="1" customWidth="1"/>
    <col min="13" max="14" width="9.85546875" style="1068" bestFit="1" customWidth="1"/>
    <col min="15" max="15" width="13.42578125" style="1069" bestFit="1" customWidth="1"/>
    <col min="16" max="16" width="13.42578125" style="1068" bestFit="1" customWidth="1"/>
    <col min="17" max="16384" width="11.42578125" style="1068"/>
  </cols>
  <sheetData>
    <row r="2" spans="1:15" ht="12.75" thickBot="1" x14ac:dyDescent="0.25"/>
    <row r="3" spans="1:15" s="753" customFormat="1" ht="12.75" thickBot="1" x14ac:dyDescent="0.25">
      <c r="A3" s="1696" t="s">
        <v>1</v>
      </c>
      <c r="B3" s="1697"/>
      <c r="C3" s="1697"/>
      <c r="D3" s="1697"/>
      <c r="E3" s="1697"/>
      <c r="F3" s="1697"/>
      <c r="G3" s="1697"/>
      <c r="H3" s="1698"/>
      <c r="I3" s="1698"/>
      <c r="J3" s="1698"/>
      <c r="K3" s="1698"/>
      <c r="L3" s="1698"/>
      <c r="M3" s="1698"/>
      <c r="N3" s="1699"/>
      <c r="O3" s="752"/>
    </row>
    <row r="4" spans="1:15" s="753" customFormat="1" ht="12.75" thickBot="1" x14ac:dyDescent="0.3">
      <c r="A4" s="1612" t="s">
        <v>6</v>
      </c>
      <c r="B4" s="854" t="s">
        <v>17</v>
      </c>
      <c r="C4" s="855" t="s">
        <v>800</v>
      </c>
      <c r="D4" s="1680" t="s">
        <v>105</v>
      </c>
      <c r="E4" s="1681"/>
      <c r="F4" s="1694" t="s">
        <v>821</v>
      </c>
      <c r="G4" s="1695"/>
      <c r="H4" s="1680" t="s">
        <v>53</v>
      </c>
      <c r="I4" s="1681"/>
      <c r="J4" s="1609" t="s">
        <v>56</v>
      </c>
      <c r="K4" s="1681"/>
      <c r="L4" s="1615" t="s">
        <v>55</v>
      </c>
      <c r="M4" s="1614"/>
      <c r="N4" s="1616"/>
      <c r="O4" s="752"/>
    </row>
    <row r="5" spans="1:15" s="753" customFormat="1" ht="12.75" thickBot="1" x14ac:dyDescent="0.3">
      <c r="A5" s="1700"/>
      <c r="B5" s="856" t="s">
        <v>11</v>
      </c>
      <c r="C5" s="1070" t="s">
        <v>0</v>
      </c>
      <c r="D5" s="858" t="s">
        <v>14</v>
      </c>
      <c r="E5" s="1071" t="s">
        <v>10</v>
      </c>
      <c r="F5" s="858" t="s">
        <v>14</v>
      </c>
      <c r="G5" s="1071" t="s">
        <v>10</v>
      </c>
      <c r="H5" s="858" t="s">
        <v>14</v>
      </c>
      <c r="I5" s="1071" t="s">
        <v>10</v>
      </c>
      <c r="J5" s="858" t="s">
        <v>14</v>
      </c>
      <c r="K5" s="1071" t="s">
        <v>10</v>
      </c>
      <c r="L5" s="1064" t="s">
        <v>11</v>
      </c>
      <c r="M5" s="858" t="s">
        <v>14</v>
      </c>
      <c r="N5" s="1065" t="s">
        <v>10</v>
      </c>
      <c r="O5" s="752"/>
    </row>
    <row r="6" spans="1:15" s="1080" customFormat="1" x14ac:dyDescent="0.2">
      <c r="A6" s="1072">
        <v>1</v>
      </c>
      <c r="B6" s="1073">
        <v>4</v>
      </c>
      <c r="C6" s="1074" t="s">
        <v>801</v>
      </c>
      <c r="D6" s="1075">
        <f>(102.41+0.55)*36.17</f>
        <v>3724.0632000000001</v>
      </c>
      <c r="E6" s="1076">
        <f>+D6*$B6</f>
        <v>14896.2528</v>
      </c>
      <c r="F6" s="1075">
        <f>3219.12+19.9</f>
        <v>3239.02</v>
      </c>
      <c r="G6" s="1076">
        <f>+F6*$B6</f>
        <v>12956.08</v>
      </c>
      <c r="H6" s="1075">
        <f>(322.24/B6)*36.21</f>
        <v>2917.0776000000001</v>
      </c>
      <c r="I6" s="1076">
        <f>+H6*$B6</f>
        <v>11668.3104</v>
      </c>
      <c r="J6" s="1075">
        <f>3766.718+16.155</f>
        <v>3782.873</v>
      </c>
      <c r="K6" s="1076">
        <f>+J6*$B6</f>
        <v>15131.492</v>
      </c>
      <c r="L6" s="1077">
        <v>3</v>
      </c>
      <c r="M6" s="1075">
        <f>(66.85+0.5)*TC!C3</f>
        <v>2404.0447799999997</v>
      </c>
      <c r="N6" s="1078">
        <f>+M6*$L6</f>
        <v>7212.1343399999987</v>
      </c>
      <c r="O6" s="1079"/>
    </row>
    <row r="7" spans="1:15" s="1080" customFormat="1" x14ac:dyDescent="0.2">
      <c r="A7" s="1081">
        <v>2</v>
      </c>
      <c r="B7" s="1082">
        <v>4</v>
      </c>
      <c r="C7" s="1083" t="s">
        <v>802</v>
      </c>
      <c r="D7" s="1084">
        <f>(2.26)*36.17</f>
        <v>81.744199999999992</v>
      </c>
      <c r="E7" s="1076">
        <f t="shared" ref="E7:E8" si="0">+D7*$B7</f>
        <v>326.97679999999997</v>
      </c>
      <c r="F7" s="1084">
        <v>104.2</v>
      </c>
      <c r="G7" s="1076">
        <f t="shared" ref="G7:G8" si="1">+F7*$B7</f>
        <v>416.8</v>
      </c>
      <c r="H7" s="1084" t="s">
        <v>36</v>
      </c>
      <c r="I7" s="1076" t="s">
        <v>36</v>
      </c>
      <c r="J7" s="1084">
        <v>59.234999999999999</v>
      </c>
      <c r="K7" s="1076">
        <f t="shared" ref="K7:K8" si="2">+J7*$B7</f>
        <v>236.94</v>
      </c>
      <c r="L7" s="1085">
        <v>3</v>
      </c>
      <c r="M7" s="1084">
        <f>14*TC!C3</f>
        <v>499.72720000000004</v>
      </c>
      <c r="N7" s="1078">
        <f>+M7*L7</f>
        <v>1499.1816000000001</v>
      </c>
      <c r="O7" s="1079"/>
    </row>
    <row r="8" spans="1:15" s="1080" customFormat="1" ht="12.75" thickBot="1" x14ac:dyDescent="0.25">
      <c r="A8" s="1081">
        <v>3</v>
      </c>
      <c r="B8" s="1082">
        <v>1</v>
      </c>
      <c r="C8" s="1083" t="s">
        <v>803</v>
      </c>
      <c r="D8" s="1084">
        <f>11.12*36.17</f>
        <v>402.21039999999999</v>
      </c>
      <c r="E8" s="1076">
        <f t="shared" si="0"/>
        <v>402.21039999999999</v>
      </c>
      <c r="F8" s="1084">
        <v>325.62</v>
      </c>
      <c r="G8" s="1076">
        <f t="shared" si="1"/>
        <v>325.62</v>
      </c>
      <c r="H8" s="1084" t="s">
        <v>36</v>
      </c>
      <c r="I8" s="1076" t="s">
        <v>36</v>
      </c>
      <c r="J8" s="1084">
        <v>430.8</v>
      </c>
      <c r="K8" s="1076">
        <f t="shared" si="2"/>
        <v>430.8</v>
      </c>
      <c r="L8" s="1085">
        <v>1</v>
      </c>
      <c r="M8" s="1084">
        <f>14*TC!C3</f>
        <v>499.72720000000004</v>
      </c>
      <c r="N8" s="1078">
        <f>+M8*$L8</f>
        <v>499.72720000000004</v>
      </c>
      <c r="O8" s="1079"/>
    </row>
    <row r="9" spans="1:15" x14ac:dyDescent="0.2">
      <c r="A9" s="1511" t="s">
        <v>4</v>
      </c>
      <c r="B9" s="1512"/>
      <c r="C9" s="1604"/>
      <c r="D9" s="1605">
        <f>SUM(E6:E8)</f>
        <v>15625.44</v>
      </c>
      <c r="E9" s="1682"/>
      <c r="F9" s="1605">
        <f>SUM(G6:G8)</f>
        <v>13698.5</v>
      </c>
      <c r="G9" s="1682"/>
      <c r="H9" s="1605">
        <f>SUM(I6:I8)</f>
        <v>11668.3104</v>
      </c>
      <c r="I9" s="1682"/>
      <c r="J9" s="1605">
        <f>SUM(K6:K8)</f>
        <v>15799.232</v>
      </c>
      <c r="K9" s="1682"/>
      <c r="L9" s="1063"/>
      <c r="M9" s="1605">
        <f>SUM(N6:N8)</f>
        <v>9211.0431399999979</v>
      </c>
      <c r="N9" s="1608"/>
    </row>
    <row r="10" spans="1:15" x14ac:dyDescent="0.2">
      <c r="A10" s="1518" t="s">
        <v>5</v>
      </c>
      <c r="B10" s="1519"/>
      <c r="C10" s="1594"/>
      <c r="D10" s="1683" t="s">
        <v>822</v>
      </c>
      <c r="E10" s="1684"/>
      <c r="F10" s="1683">
        <v>0</v>
      </c>
      <c r="G10" s="1684"/>
      <c r="H10" s="1683">
        <v>0.25</v>
      </c>
      <c r="I10" s="1684"/>
      <c r="J10" s="1595">
        <v>0</v>
      </c>
      <c r="K10" s="1677"/>
      <c r="L10" s="1062"/>
      <c r="M10" s="1595">
        <v>0</v>
      </c>
      <c r="N10" s="1598"/>
    </row>
    <row r="11" spans="1:15" x14ac:dyDescent="0.2">
      <c r="A11" s="1691" t="s">
        <v>2</v>
      </c>
      <c r="B11" s="1692"/>
      <c r="C11" s="1693"/>
      <c r="D11" s="1595">
        <f>(D9)*15%</f>
        <v>2343.8159999999998</v>
      </c>
      <c r="E11" s="1677"/>
      <c r="F11" s="1595">
        <f>(F9)*15%</f>
        <v>2054.7750000000001</v>
      </c>
      <c r="G11" s="1677"/>
      <c r="H11" s="1595">
        <f>(H9)*15%</f>
        <v>1750.24656</v>
      </c>
      <c r="I11" s="1677"/>
      <c r="J11" s="1595">
        <f>(J9-J10)*15%</f>
        <v>2369.8847999999998</v>
      </c>
      <c r="K11" s="1677"/>
      <c r="L11" s="1062"/>
      <c r="M11" s="1595">
        <f>(M9-M10)*15%</f>
        <v>1381.6564709999996</v>
      </c>
      <c r="N11" s="1598"/>
    </row>
    <row r="12" spans="1:15" ht="12.75" thickBot="1" x14ac:dyDescent="0.25">
      <c r="A12" s="1687" t="s">
        <v>3</v>
      </c>
      <c r="B12" s="1688"/>
      <c r="C12" s="1689"/>
      <c r="D12" s="1685">
        <f>(D9)+D11</f>
        <v>17969.256000000001</v>
      </c>
      <c r="E12" s="1686"/>
      <c r="F12" s="1678">
        <f>(F9)+F11</f>
        <v>15753.275</v>
      </c>
      <c r="G12" s="1679"/>
      <c r="H12" s="1685">
        <f>(H9)+H11</f>
        <v>13418.55696</v>
      </c>
      <c r="I12" s="1686"/>
      <c r="J12" s="1685">
        <f>(J9-J10)+J11</f>
        <v>18169.1168</v>
      </c>
      <c r="K12" s="1686"/>
      <c r="L12" s="1086"/>
      <c r="M12" s="1685">
        <f>(M9-M10)+M11</f>
        <v>10592.699610999998</v>
      </c>
      <c r="N12" s="1690"/>
    </row>
    <row r="14" spans="1:15" x14ac:dyDescent="0.2">
      <c r="E14" s="1087"/>
      <c r="G14" s="1087"/>
      <c r="I14" s="1068" t="s">
        <v>804</v>
      </c>
      <c r="J14" s="1087"/>
      <c r="K14" s="1087"/>
      <c r="L14" s="1087"/>
      <c r="N14" s="1087"/>
    </row>
    <row r="15" spans="1:15" x14ac:dyDescent="0.2">
      <c r="I15" s="1068" t="s">
        <v>805</v>
      </c>
    </row>
  </sheetData>
  <mergeCells count="31">
    <mergeCell ref="A3:N3"/>
    <mergeCell ref="A4:A5"/>
    <mergeCell ref="H4:I4"/>
    <mergeCell ref="J4:K4"/>
    <mergeCell ref="A9:C9"/>
    <mergeCell ref="H9:I9"/>
    <mergeCell ref="J9:K9"/>
    <mergeCell ref="M9:N9"/>
    <mergeCell ref="A12:C12"/>
    <mergeCell ref="H12:I12"/>
    <mergeCell ref="J12:K12"/>
    <mergeCell ref="M12:N12"/>
    <mergeCell ref="L4:N4"/>
    <mergeCell ref="A10:C10"/>
    <mergeCell ref="H10:I10"/>
    <mergeCell ref="J10:K10"/>
    <mergeCell ref="M10:N10"/>
    <mergeCell ref="A11:C11"/>
    <mergeCell ref="H11:I11"/>
    <mergeCell ref="J11:K11"/>
    <mergeCell ref="M11:N11"/>
    <mergeCell ref="F4:G4"/>
    <mergeCell ref="F9:G9"/>
    <mergeCell ref="F10:G10"/>
    <mergeCell ref="F11:G11"/>
    <mergeCell ref="F12:G12"/>
    <mergeCell ref="D4:E4"/>
    <mergeCell ref="D9:E9"/>
    <mergeCell ref="D10:E10"/>
    <mergeCell ref="D11:E11"/>
    <mergeCell ref="D12:E12"/>
  </mergeCells>
  <pageMargins left="0.25" right="0.25" top="0.75" bottom="0.75" header="0.3" footer="0.3"/>
  <pageSetup orientation="landscape" r:id="rId1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413B1-7BE1-4926-B849-8E4CC67F7443}">
  <sheetPr codeName="Hoja153"/>
  <dimension ref="A5:M19"/>
  <sheetViews>
    <sheetView showGridLines="0" workbookViewId="0">
      <selection activeCell="K9" sqref="K9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6.140625" style="53" bestFit="1" customWidth="1"/>
    <col min="4" max="4" width="11.7109375" style="53" bestFit="1" customWidth="1"/>
    <col min="5" max="5" width="12.7109375" style="53" bestFit="1" customWidth="1"/>
    <col min="6" max="6" width="5.85546875" style="53" bestFit="1" customWidth="1"/>
    <col min="7" max="12" width="11.7109375" style="53" bestFit="1" customWidth="1"/>
    <col min="13" max="13" width="2.140625" style="1057" bestFit="1" customWidth="1"/>
    <col min="14" max="14" width="13.42578125" style="53" bestFit="1" customWidth="1"/>
    <col min="15" max="16384" width="11.42578125" style="53"/>
  </cols>
  <sheetData>
    <row r="5" spans="1:13" ht="15.75" thickBot="1" x14ac:dyDescent="0.3"/>
    <row r="6" spans="1:13" ht="15.75" thickBot="1" x14ac:dyDescent="0.3">
      <c r="A6" s="1115" t="s">
        <v>1</v>
      </c>
      <c r="B6" s="1128"/>
      <c r="C6" s="1128"/>
      <c r="D6" s="1128"/>
      <c r="E6" s="1128"/>
      <c r="F6" s="1128"/>
      <c r="G6" s="1128"/>
      <c r="H6" s="1128"/>
      <c r="I6" s="1128"/>
      <c r="J6" s="1128"/>
      <c r="K6" s="1128"/>
      <c r="L6" s="1116"/>
    </row>
    <row r="7" spans="1:13" x14ac:dyDescent="0.25">
      <c r="A7" s="1390" t="s">
        <v>6</v>
      </c>
      <c r="B7" s="427" t="s">
        <v>17</v>
      </c>
      <c r="C7" s="370" t="s">
        <v>806</v>
      </c>
      <c r="D7" s="1382" t="s">
        <v>53</v>
      </c>
      <c r="E7" s="1382"/>
      <c r="F7" s="1051"/>
      <c r="G7" s="1382" t="s">
        <v>51</v>
      </c>
      <c r="H7" s="1382"/>
      <c r="I7" s="1382" t="s">
        <v>49</v>
      </c>
      <c r="J7" s="1382"/>
      <c r="K7" s="1382" t="s">
        <v>52</v>
      </c>
      <c r="L7" s="1383"/>
    </row>
    <row r="8" spans="1:13" ht="15.75" thickBot="1" x14ac:dyDescent="0.3">
      <c r="A8" s="1391"/>
      <c r="B8" s="428" t="s">
        <v>11</v>
      </c>
      <c r="C8" s="372" t="s">
        <v>0</v>
      </c>
      <c r="D8" s="372" t="s">
        <v>14</v>
      </c>
      <c r="E8" s="372" t="s">
        <v>10</v>
      </c>
      <c r="F8" s="428" t="s">
        <v>11</v>
      </c>
      <c r="G8" s="372" t="s">
        <v>14</v>
      </c>
      <c r="H8" s="372" t="s">
        <v>10</v>
      </c>
      <c r="I8" s="372" t="s">
        <v>14</v>
      </c>
      <c r="J8" s="372" t="s">
        <v>10</v>
      </c>
      <c r="K8" s="372" t="s">
        <v>14</v>
      </c>
      <c r="L8" s="373" t="s">
        <v>10</v>
      </c>
    </row>
    <row r="9" spans="1:13" s="69" customFormat="1" x14ac:dyDescent="0.25">
      <c r="A9" s="1052">
        <v>1</v>
      </c>
      <c r="B9" s="791">
        <v>6</v>
      </c>
      <c r="C9" s="64" t="s">
        <v>807</v>
      </c>
      <c r="D9" s="374">
        <f>(449.04/B9)*36.21</f>
        <v>2709.9564</v>
      </c>
      <c r="E9" s="374">
        <f>+D9*$B9</f>
        <v>16259.7384</v>
      </c>
      <c r="F9" s="791">
        <v>6</v>
      </c>
      <c r="G9" s="374" t="s">
        <v>36</v>
      </c>
      <c r="H9" s="374" t="s">
        <v>36</v>
      </c>
      <c r="I9" s="374">
        <f>8053.34/B9</f>
        <v>1342.2233333333334</v>
      </c>
      <c r="J9" s="374">
        <f>+I9*B9</f>
        <v>8053.34</v>
      </c>
      <c r="K9" s="374">
        <f>1430.65*0.75</f>
        <v>1072.9875000000002</v>
      </c>
      <c r="L9" s="375">
        <f>+K9*B9</f>
        <v>6437.9250000000011</v>
      </c>
      <c r="M9" s="919"/>
    </row>
    <row r="10" spans="1:13" s="69" customFormat="1" x14ac:dyDescent="0.25">
      <c r="A10" s="1054">
        <v>2</v>
      </c>
      <c r="B10" s="775">
        <v>4</v>
      </c>
      <c r="C10" s="193" t="s">
        <v>808</v>
      </c>
      <c r="D10" s="376" t="s">
        <v>36</v>
      </c>
      <c r="E10" s="376" t="s">
        <v>36</v>
      </c>
      <c r="F10" s="775">
        <v>4</v>
      </c>
      <c r="G10" s="376">
        <v>750</v>
      </c>
      <c r="H10" s="376">
        <f>+G10*B10</f>
        <v>3000</v>
      </c>
      <c r="I10" s="376">
        <f>4290.24/B10</f>
        <v>1072.56</v>
      </c>
      <c r="J10" s="376">
        <f>+I10*B10</f>
        <v>4290.24</v>
      </c>
      <c r="K10" s="376">
        <f>2246.52*0.75</f>
        <v>1684.8899999999999</v>
      </c>
      <c r="L10" s="377">
        <f>+K10*B10</f>
        <v>6739.5599999999995</v>
      </c>
      <c r="M10" s="919"/>
    </row>
    <row r="11" spans="1:13" s="69" customFormat="1" x14ac:dyDescent="0.25">
      <c r="A11" s="1054">
        <v>3</v>
      </c>
      <c r="B11" s="775">
        <v>4</v>
      </c>
      <c r="C11" s="193" t="s">
        <v>809</v>
      </c>
      <c r="D11" s="376" t="s">
        <v>36</v>
      </c>
      <c r="E11" s="376" t="s">
        <v>36</v>
      </c>
      <c r="F11" s="775">
        <v>3</v>
      </c>
      <c r="G11" s="376">
        <v>1050</v>
      </c>
      <c r="H11" s="376">
        <f>+G11*$F11</f>
        <v>3150</v>
      </c>
      <c r="I11" s="376">
        <f>5810.53/B11</f>
        <v>1452.6324999999999</v>
      </c>
      <c r="J11" s="376">
        <f>+I11*B11</f>
        <v>5810.53</v>
      </c>
      <c r="K11" s="376">
        <f>1755.85*0.75</f>
        <v>1316.8874999999998</v>
      </c>
      <c r="L11" s="377">
        <f>+K11*B11</f>
        <v>5267.5499999999993</v>
      </c>
      <c r="M11" s="919"/>
    </row>
    <row r="12" spans="1:13" s="69" customFormat="1" ht="15.75" thickBot="1" x14ac:dyDescent="0.3">
      <c r="A12" s="1058">
        <v>4</v>
      </c>
      <c r="B12" s="1059">
        <v>10</v>
      </c>
      <c r="C12" s="380" t="s">
        <v>712</v>
      </c>
      <c r="D12" s="381" t="s">
        <v>36</v>
      </c>
      <c r="E12" s="381" t="s">
        <v>36</v>
      </c>
      <c r="F12" s="1059">
        <v>10</v>
      </c>
      <c r="G12" s="381">
        <v>100</v>
      </c>
      <c r="H12" s="381">
        <f t="shared" ref="H12" si="0">+G12*$B12</f>
        <v>1000</v>
      </c>
      <c r="I12" s="381">
        <f>3175.44/B12</f>
        <v>317.54399999999998</v>
      </c>
      <c r="J12" s="381">
        <f t="shared" ref="J12" si="1">+I12*$B12</f>
        <v>3175.4399999999996</v>
      </c>
      <c r="K12" s="376">
        <f>356.99*0.75</f>
        <v>267.74250000000001</v>
      </c>
      <c r="L12" s="384">
        <f>+K12*B12</f>
        <v>2677.4250000000002</v>
      </c>
      <c r="M12" s="919"/>
    </row>
    <row r="13" spans="1:13" x14ac:dyDescent="0.25">
      <c r="A13" s="1132" t="s">
        <v>4</v>
      </c>
      <c r="B13" s="1133"/>
      <c r="C13" s="1133"/>
      <c r="D13" s="1378">
        <f>SUM(E9:E12)</f>
        <v>16259.7384</v>
      </c>
      <c r="E13" s="1378"/>
      <c r="F13" s="1050"/>
      <c r="G13" s="1378">
        <f>SUM(H9:H12)</f>
        <v>7150</v>
      </c>
      <c r="H13" s="1378"/>
      <c r="I13" s="1378">
        <f>SUM(J9:J12)</f>
        <v>21329.55</v>
      </c>
      <c r="J13" s="1378"/>
      <c r="K13" s="1378">
        <f>SUM(L9:L12)</f>
        <v>21122.46</v>
      </c>
      <c r="L13" s="1379"/>
    </row>
    <row r="14" spans="1:13" x14ac:dyDescent="0.25">
      <c r="A14" s="1123" t="s">
        <v>5</v>
      </c>
      <c r="B14" s="1124"/>
      <c r="C14" s="1124"/>
      <c r="D14" s="1376">
        <v>0.2</v>
      </c>
      <c r="E14" s="1376"/>
      <c r="F14" s="1049"/>
      <c r="G14" s="1376">
        <v>0</v>
      </c>
      <c r="H14" s="1376"/>
      <c r="I14" s="1374">
        <v>0</v>
      </c>
      <c r="J14" s="1374"/>
      <c r="K14" s="1376">
        <v>0.25</v>
      </c>
      <c r="L14" s="1377"/>
    </row>
    <row r="15" spans="1:13" x14ac:dyDescent="0.25">
      <c r="A15" s="1123" t="s">
        <v>2</v>
      </c>
      <c r="B15" s="1124"/>
      <c r="C15" s="1124"/>
      <c r="D15" s="1374">
        <f>(D13)*15%</f>
        <v>2438.9607599999999</v>
      </c>
      <c r="E15" s="1374"/>
      <c r="F15" s="1048"/>
      <c r="G15" s="1374">
        <v>0</v>
      </c>
      <c r="H15" s="1374"/>
      <c r="I15" s="1374">
        <f>+I13*0.15</f>
        <v>3199.4324999999999</v>
      </c>
      <c r="J15" s="1374"/>
      <c r="K15" s="1374">
        <f>+K13*0.15</f>
        <v>3168.3689999999997</v>
      </c>
      <c r="L15" s="1375"/>
    </row>
    <row r="16" spans="1:13" ht="15.75" thickBot="1" x14ac:dyDescent="0.3">
      <c r="A16" s="1109" t="s">
        <v>3</v>
      </c>
      <c r="B16" s="1110"/>
      <c r="C16" s="1110"/>
      <c r="D16" s="1372">
        <f>(D13)+D15</f>
        <v>18698.69916</v>
      </c>
      <c r="E16" s="1372"/>
      <c r="F16" s="1047"/>
      <c r="G16" s="1372">
        <f>(G13)+G15</f>
        <v>7150</v>
      </c>
      <c r="H16" s="1372"/>
      <c r="I16" s="1372">
        <f>(I13-I14)+I15</f>
        <v>24528.982499999998</v>
      </c>
      <c r="J16" s="1372"/>
      <c r="K16" s="1372">
        <f>(K13)+K15</f>
        <v>24290.828999999998</v>
      </c>
      <c r="L16" s="1373"/>
    </row>
    <row r="18" spans="4:12" s="1057" customFormat="1" x14ac:dyDescent="0.25">
      <c r="D18" s="1541"/>
      <c r="E18" s="1541"/>
      <c r="F18" s="1055"/>
      <c r="G18" s="72"/>
      <c r="H18" s="72"/>
      <c r="I18" s="1541"/>
      <c r="J18" s="1541"/>
      <c r="K18" s="53"/>
      <c r="L18" s="72"/>
    </row>
    <row r="19" spans="4:12" s="1057" customFormat="1" x14ac:dyDescent="0.25">
      <c r="D19" s="1541"/>
      <c r="E19" s="1541"/>
      <c r="F19" s="1055"/>
      <c r="G19" s="53"/>
      <c r="H19" s="53"/>
      <c r="I19" s="1541"/>
      <c r="J19" s="1541"/>
      <c r="K19" s="53"/>
      <c r="L19" s="53"/>
    </row>
  </sheetData>
  <mergeCells count="28">
    <mergeCell ref="A6:L6"/>
    <mergeCell ref="A7:A8"/>
    <mergeCell ref="D7:E7"/>
    <mergeCell ref="G7:H7"/>
    <mergeCell ref="I7:J7"/>
    <mergeCell ref="K7:L7"/>
    <mergeCell ref="A14:C14"/>
    <mergeCell ref="D14:E14"/>
    <mergeCell ref="G14:H14"/>
    <mergeCell ref="I14:J14"/>
    <mergeCell ref="K14:L14"/>
    <mergeCell ref="A13:C13"/>
    <mergeCell ref="D13:E13"/>
    <mergeCell ref="G13:H13"/>
    <mergeCell ref="I13:J13"/>
    <mergeCell ref="K13:L13"/>
    <mergeCell ref="K15:L15"/>
    <mergeCell ref="A16:C16"/>
    <mergeCell ref="D16:E16"/>
    <mergeCell ref="G16:H16"/>
    <mergeCell ref="I16:J16"/>
    <mergeCell ref="K16:L16"/>
    <mergeCell ref="D18:E19"/>
    <mergeCell ref="I18:J19"/>
    <mergeCell ref="A15:C15"/>
    <mergeCell ref="D15:E15"/>
    <mergeCell ref="G15:H15"/>
    <mergeCell ref="I15:J15"/>
  </mergeCells>
  <conditionalFormatting sqref="E9:E12 H9:H12 J9:J12 L9:L12">
    <cfRule type="expression" dxfId="21" priority="367">
      <formula>D9=MIN($D9,$G9,$I9,$K9)</formula>
    </cfRule>
  </conditionalFormatting>
  <conditionalFormatting sqref="J9:J12">
    <cfRule type="expression" dxfId="20" priority="371">
      <formula>I9=""</formula>
    </cfRule>
    <cfRule type="expression" dxfId="19" priority="372">
      <formula>I9=MIN($D9,$G9,$K9)</formula>
    </cfRule>
  </conditionalFormatting>
  <pageMargins left="0.25" right="0.25" top="0.75" bottom="0.75" header="0.3" footer="0.3"/>
  <pageSetup orientation="landscape" r:id="rId1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7928AD-3621-4C55-B6F0-C6CBD7EB46BD}">
  <sheetPr codeName="Hoja157"/>
  <dimension ref="A5:L17"/>
  <sheetViews>
    <sheetView showGridLines="0" workbookViewId="0">
      <selection activeCell="J11" sqref="J11:K11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7.140625" style="34" bestFit="1" customWidth="1"/>
    <col min="4" max="4" width="12.85546875" style="34" bestFit="1" customWidth="1"/>
    <col min="5" max="5" width="14" style="34" bestFit="1" customWidth="1"/>
    <col min="6" max="7" width="12.85546875" style="34" bestFit="1" customWidth="1"/>
    <col min="8" max="9" width="14" style="34" bestFit="1" customWidth="1"/>
    <col min="10" max="11" width="12.85546875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5" spans="1:12" ht="16.5" thickBot="1" x14ac:dyDescent="0.3"/>
    <row r="6" spans="1:12" ht="16.5" thickBot="1" x14ac:dyDescent="0.3">
      <c r="A6" s="1100" t="s">
        <v>1</v>
      </c>
      <c r="B6" s="1101"/>
      <c r="C6" s="1101"/>
      <c r="D6" s="1101"/>
      <c r="E6" s="1101"/>
      <c r="F6" s="1101"/>
      <c r="G6" s="1101"/>
      <c r="H6" s="1101"/>
      <c r="I6" s="1101"/>
      <c r="J6" s="1101"/>
      <c r="K6" s="1102"/>
    </row>
    <row r="7" spans="1:12" x14ac:dyDescent="0.25">
      <c r="A7" s="1434" t="s">
        <v>6</v>
      </c>
      <c r="B7" s="505" t="s">
        <v>17</v>
      </c>
      <c r="C7" s="506" t="s">
        <v>810</v>
      </c>
      <c r="D7" s="1435" t="s">
        <v>748</v>
      </c>
      <c r="E7" s="1435"/>
      <c r="F7" s="1435" t="s">
        <v>53</v>
      </c>
      <c r="G7" s="1435"/>
      <c r="H7" s="1435" t="s">
        <v>49</v>
      </c>
      <c r="I7" s="1435"/>
      <c r="J7" s="1435" t="s">
        <v>333</v>
      </c>
      <c r="K7" s="1436"/>
    </row>
    <row r="8" spans="1:12" ht="16.5" thickBot="1" x14ac:dyDescent="0.3">
      <c r="A8" s="1385"/>
      <c r="B8" s="392" t="s">
        <v>11</v>
      </c>
      <c r="C8" s="45" t="s">
        <v>0</v>
      </c>
      <c r="D8" s="45" t="s">
        <v>14</v>
      </c>
      <c r="E8" s="45" t="s">
        <v>10</v>
      </c>
      <c r="F8" s="45" t="s">
        <v>14</v>
      </c>
      <c r="G8" s="45" t="s">
        <v>10</v>
      </c>
      <c r="H8" s="45" t="s">
        <v>14</v>
      </c>
      <c r="I8" s="45" t="s">
        <v>10</v>
      </c>
      <c r="J8" s="45" t="s">
        <v>14</v>
      </c>
      <c r="K8" s="393" t="s">
        <v>10</v>
      </c>
    </row>
    <row r="9" spans="1:12" s="346" customFormat="1" x14ac:dyDescent="0.25">
      <c r="A9" s="1053">
        <v>1</v>
      </c>
      <c r="B9" s="507">
        <v>2</v>
      </c>
      <c r="C9" s="508" t="s">
        <v>811</v>
      </c>
      <c r="D9" s="510">
        <f>9130.43*0.9</f>
        <v>8217.3870000000006</v>
      </c>
      <c r="E9" s="510">
        <f>+D9*$B9</f>
        <v>16434.774000000001</v>
      </c>
      <c r="F9" s="510">
        <f>(279.3/B9)*35.21</f>
        <v>4917.0765000000001</v>
      </c>
      <c r="G9" s="510">
        <f>+F9*B9</f>
        <v>9834.1530000000002</v>
      </c>
      <c r="H9" s="510" t="s">
        <v>36</v>
      </c>
      <c r="I9" s="510" t="s">
        <v>36</v>
      </c>
      <c r="J9" s="510" t="s">
        <v>36</v>
      </c>
      <c r="K9" s="511" t="s">
        <v>36</v>
      </c>
      <c r="L9" s="351"/>
    </row>
    <row r="10" spans="1:12" s="346" customFormat="1" ht="16.5" thickBot="1" x14ac:dyDescent="0.3">
      <c r="A10" s="421">
        <v>2</v>
      </c>
      <c r="B10" s="647">
        <v>1</v>
      </c>
      <c r="C10" s="589" t="s">
        <v>812</v>
      </c>
      <c r="D10" s="648">
        <f>7100*0.9</f>
        <v>6390</v>
      </c>
      <c r="E10" s="648">
        <f t="shared" ref="E10" si="0">+D10*$B10</f>
        <v>6390</v>
      </c>
      <c r="F10" s="648" t="s">
        <v>36</v>
      </c>
      <c r="G10" s="648" t="s">
        <v>36</v>
      </c>
      <c r="H10" s="648">
        <v>12970.78</v>
      </c>
      <c r="I10" s="648">
        <f>+H10*B10</f>
        <v>12970.78</v>
      </c>
      <c r="J10" s="648">
        <v>5177.42</v>
      </c>
      <c r="K10" s="649">
        <f>+J10*B10</f>
        <v>5177.42</v>
      </c>
      <c r="L10" s="351"/>
    </row>
    <row r="11" spans="1:12" x14ac:dyDescent="0.25">
      <c r="A11" s="1094" t="s">
        <v>4</v>
      </c>
      <c r="B11" s="1095"/>
      <c r="C11" s="1095"/>
      <c r="D11" s="1399">
        <f>SUM(E9:E10)</f>
        <v>22824.774000000001</v>
      </c>
      <c r="E11" s="1399"/>
      <c r="F11" s="1399">
        <f>SUM(G9:G10)</f>
        <v>9834.1530000000002</v>
      </c>
      <c r="G11" s="1399"/>
      <c r="H11" s="1399">
        <f>SUM(I9:I10)</f>
        <v>12970.78</v>
      </c>
      <c r="I11" s="1399"/>
      <c r="J11" s="1399">
        <f>SUM(K9:K10)</f>
        <v>5177.42</v>
      </c>
      <c r="K11" s="1403"/>
    </row>
    <row r="12" spans="1:12" x14ac:dyDescent="0.25">
      <c r="A12" s="1096" t="s">
        <v>5</v>
      </c>
      <c r="B12" s="1097"/>
      <c r="C12" s="1097"/>
      <c r="D12" s="1573">
        <v>0.1</v>
      </c>
      <c r="E12" s="1573"/>
      <c r="F12" s="1573">
        <v>0.3</v>
      </c>
      <c r="G12" s="1573"/>
      <c r="H12" s="1400">
        <v>0</v>
      </c>
      <c r="I12" s="1400"/>
      <c r="J12" s="1573">
        <v>0.15</v>
      </c>
      <c r="K12" s="1701"/>
    </row>
    <row r="13" spans="1:12" x14ac:dyDescent="0.25">
      <c r="A13" s="1096" t="s">
        <v>2</v>
      </c>
      <c r="B13" s="1097"/>
      <c r="C13" s="1097"/>
      <c r="D13" s="1400">
        <f>(D11)*15%</f>
        <v>3423.7161000000001</v>
      </c>
      <c r="E13" s="1400"/>
      <c r="F13" s="1400">
        <f>(F11)*15%</f>
        <v>1475.1229499999999</v>
      </c>
      <c r="G13" s="1400"/>
      <c r="H13" s="1400">
        <f>+H11*0.15</f>
        <v>1945.617</v>
      </c>
      <c r="I13" s="1400"/>
      <c r="J13" s="1400">
        <f>+J11*0.15</f>
        <v>776.61299999999994</v>
      </c>
      <c r="K13" s="1401"/>
    </row>
    <row r="14" spans="1:12" ht="16.5" thickBot="1" x14ac:dyDescent="0.3">
      <c r="A14" s="1098" t="s">
        <v>3</v>
      </c>
      <c r="B14" s="1099"/>
      <c r="C14" s="1099"/>
      <c r="D14" s="1437">
        <f>(D11)+D13</f>
        <v>26248.490100000003</v>
      </c>
      <c r="E14" s="1437"/>
      <c r="F14" s="1437">
        <f>(F11)+F13</f>
        <v>11309.275949999999</v>
      </c>
      <c r="G14" s="1437"/>
      <c r="H14" s="1437">
        <f>(H11-H12)+H13</f>
        <v>14916.397000000001</v>
      </c>
      <c r="I14" s="1437"/>
      <c r="J14" s="1437">
        <f>(J11-J12)+J13</f>
        <v>5953.8830000000007</v>
      </c>
      <c r="K14" s="1438"/>
    </row>
    <row r="16" spans="1:12" s="970" customFormat="1" x14ac:dyDescent="0.25">
      <c r="A16" s="34"/>
      <c r="B16" s="34"/>
      <c r="C16" s="34"/>
      <c r="D16" s="1351"/>
      <c r="E16" s="1351"/>
      <c r="F16" s="40"/>
      <c r="G16" s="40"/>
      <c r="H16" s="1351"/>
      <c r="I16" s="1351"/>
      <c r="J16" s="34"/>
      <c r="K16" s="40"/>
    </row>
    <row r="17" spans="1:11" s="970" customFormat="1" x14ac:dyDescent="0.25">
      <c r="A17" s="34"/>
      <c r="B17" s="34"/>
      <c r="C17" s="34"/>
      <c r="D17" s="1351"/>
      <c r="E17" s="1351"/>
      <c r="F17" s="34"/>
      <c r="G17" s="34"/>
      <c r="H17" s="1351"/>
      <c r="I17" s="1351"/>
      <c r="J17" s="34"/>
      <c r="K17" s="34"/>
    </row>
  </sheetData>
  <mergeCells count="28">
    <mergeCell ref="A6:K6"/>
    <mergeCell ref="A7:A8"/>
    <mergeCell ref="D7:E7"/>
    <mergeCell ref="F7:G7"/>
    <mergeCell ref="H7:I7"/>
    <mergeCell ref="J7:K7"/>
    <mergeCell ref="A12:C12"/>
    <mergeCell ref="D12:E12"/>
    <mergeCell ref="F12:G12"/>
    <mergeCell ref="H12:I12"/>
    <mergeCell ref="J12:K12"/>
    <mergeCell ref="A11:C11"/>
    <mergeCell ref="D11:E11"/>
    <mergeCell ref="F11:G11"/>
    <mergeCell ref="H11:I11"/>
    <mergeCell ref="J11:K11"/>
    <mergeCell ref="J13:K13"/>
    <mergeCell ref="A14:C14"/>
    <mergeCell ref="D14:E14"/>
    <mergeCell ref="F14:G14"/>
    <mergeCell ref="H14:I14"/>
    <mergeCell ref="J14:K14"/>
    <mergeCell ref="D16:E17"/>
    <mergeCell ref="H16:I17"/>
    <mergeCell ref="A13:C13"/>
    <mergeCell ref="D13:E13"/>
    <mergeCell ref="F13:G13"/>
    <mergeCell ref="H13:I13"/>
  </mergeCells>
  <conditionalFormatting sqref="E9:E10 G9:G10 I9:I10 K9:K10">
    <cfRule type="expression" dxfId="18" priority="3">
      <formula>D9=MIN($D9,$F9,$H9,$J9)</formula>
    </cfRule>
  </conditionalFormatting>
  <conditionalFormatting sqref="I9:I10">
    <cfRule type="expression" dxfId="17" priority="1">
      <formula>H9=""</formula>
    </cfRule>
    <cfRule type="expression" dxfId="16" priority="2">
      <formula>H9=MIN($D9,$F9,$J9)</formula>
    </cfRule>
  </conditionalFormatting>
  <pageMargins left="0.25" right="0.25" top="0.75" bottom="0.75" header="0.3" footer="0.3"/>
  <pageSetup orientation="landscape" r:id="rId1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B6649-B227-4FCF-A8C7-A5E33F016941}">
  <dimension ref="B2:M13"/>
  <sheetViews>
    <sheetView showGridLines="0" workbookViewId="0">
      <selection activeCell="E12" sqref="E12"/>
    </sheetView>
  </sheetViews>
  <sheetFormatPr baseColWidth="10" defaultRowHeight="15.75" x14ac:dyDescent="0.25"/>
  <cols>
    <col min="1" max="1" width="11.42578125" style="34"/>
    <col min="2" max="2" width="3" style="34" bestFit="1" customWidth="1"/>
    <col min="3" max="3" width="6.28515625" style="34" bestFit="1" customWidth="1"/>
    <col min="4" max="4" width="17.140625" style="34" bestFit="1" customWidth="1"/>
    <col min="5" max="5" width="12.85546875" style="34" bestFit="1" customWidth="1"/>
    <col min="6" max="6" width="14" style="34" bestFit="1" customWidth="1"/>
    <col min="7" max="10" width="11.140625" style="34" hidden="1" customWidth="1"/>
    <col min="11" max="12" width="14" style="34" bestFit="1" customWidth="1"/>
    <col min="13" max="13" width="2.140625" style="970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1"/>
      <c r="K3" s="1101"/>
      <c r="L3" s="1102"/>
    </row>
    <row r="4" spans="2:13" x14ac:dyDescent="0.25">
      <c r="B4" s="1434" t="s">
        <v>6</v>
      </c>
      <c r="C4" s="505" t="s">
        <v>17</v>
      </c>
      <c r="D4" s="506" t="s">
        <v>813</v>
      </c>
      <c r="E4" s="1435" t="s">
        <v>814</v>
      </c>
      <c r="F4" s="1435"/>
      <c r="G4" s="1435" t="s">
        <v>52</v>
      </c>
      <c r="H4" s="1435"/>
      <c r="I4" s="1435" t="s">
        <v>51</v>
      </c>
      <c r="J4" s="1435"/>
      <c r="K4" s="1435" t="s">
        <v>442</v>
      </c>
      <c r="L4" s="1436"/>
    </row>
    <row r="5" spans="2:13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45" t="s">
        <v>10</v>
      </c>
      <c r="K5" s="45" t="s">
        <v>14</v>
      </c>
      <c r="L5" s="393" t="s">
        <v>10</v>
      </c>
    </row>
    <row r="6" spans="2:13" s="346" customFormat="1" ht="32.25" thickBot="1" x14ac:dyDescent="0.3">
      <c r="B6" s="1060">
        <v>1</v>
      </c>
      <c r="C6" s="507">
        <v>2</v>
      </c>
      <c r="D6" s="508" t="s">
        <v>440</v>
      </c>
      <c r="E6" s="510">
        <f>13000/C6</f>
        <v>6500</v>
      </c>
      <c r="F6" s="510">
        <f>+E6*$C6</f>
        <v>13000</v>
      </c>
      <c r="G6" s="510" t="s">
        <v>36</v>
      </c>
      <c r="H6" s="510" t="s">
        <v>36</v>
      </c>
      <c r="I6" s="510" t="s">
        <v>36</v>
      </c>
      <c r="J6" s="510" t="s">
        <v>36</v>
      </c>
      <c r="K6" s="510">
        <v>18600</v>
      </c>
      <c r="L6" s="511">
        <f>+K6*C6</f>
        <v>37200</v>
      </c>
      <c r="M6" s="351"/>
    </row>
    <row r="7" spans="2:13" x14ac:dyDescent="0.25">
      <c r="B7" s="1094" t="s">
        <v>4</v>
      </c>
      <c r="C7" s="1095"/>
      <c r="D7" s="1095"/>
      <c r="E7" s="1399">
        <f>SUM(F6:F6)</f>
        <v>13000</v>
      </c>
      <c r="F7" s="1399"/>
      <c r="G7" s="1399">
        <f>SUM(H6:H6)</f>
        <v>0</v>
      </c>
      <c r="H7" s="1399"/>
      <c r="I7" s="1399">
        <f>SUM(J6:J6)</f>
        <v>0</v>
      </c>
      <c r="J7" s="1399"/>
      <c r="K7" s="1399">
        <f>SUM(L6:L6)</f>
        <v>37200</v>
      </c>
      <c r="L7" s="1403"/>
    </row>
    <row r="8" spans="2:13" x14ac:dyDescent="0.25">
      <c r="B8" s="1096" t="s">
        <v>5</v>
      </c>
      <c r="C8" s="1097"/>
      <c r="D8" s="1097"/>
      <c r="E8" s="1573">
        <v>0</v>
      </c>
      <c r="F8" s="1573"/>
      <c r="G8" s="1573">
        <v>0.25</v>
      </c>
      <c r="H8" s="1573"/>
      <c r="I8" s="1400">
        <v>0</v>
      </c>
      <c r="J8" s="1400"/>
      <c r="K8" s="1400">
        <v>0</v>
      </c>
      <c r="L8" s="1401"/>
    </row>
    <row r="9" spans="2:13" x14ac:dyDescent="0.25">
      <c r="B9" s="1096" t="s">
        <v>2</v>
      </c>
      <c r="C9" s="1097"/>
      <c r="D9" s="1097"/>
      <c r="E9" s="1400">
        <v>0</v>
      </c>
      <c r="F9" s="1400"/>
      <c r="G9" s="1400">
        <f>(G7)*15%</f>
        <v>0</v>
      </c>
      <c r="H9" s="1400"/>
      <c r="I9" s="1400">
        <v>0</v>
      </c>
      <c r="J9" s="1400"/>
      <c r="K9" s="1400">
        <f>+K7*0.15</f>
        <v>5580</v>
      </c>
      <c r="L9" s="1401"/>
    </row>
    <row r="10" spans="2:13" ht="16.5" thickBot="1" x14ac:dyDescent="0.3">
      <c r="B10" s="1098" t="s">
        <v>3</v>
      </c>
      <c r="C10" s="1099"/>
      <c r="D10" s="1099"/>
      <c r="E10" s="1437">
        <f>(E7)+E9</f>
        <v>13000</v>
      </c>
      <c r="F10" s="1437"/>
      <c r="G10" s="1437">
        <f>(G7)+G9</f>
        <v>0</v>
      </c>
      <c r="H10" s="1437"/>
      <c r="I10" s="1437">
        <f>(I7-I8)+I9</f>
        <v>0</v>
      </c>
      <c r="J10" s="1437"/>
      <c r="K10" s="1437">
        <f>(K7-K8)+K9</f>
        <v>42780</v>
      </c>
      <c r="L10" s="1438"/>
    </row>
    <row r="12" spans="2:13" s="970" customFormat="1" x14ac:dyDescent="0.25">
      <c r="B12" s="34"/>
      <c r="C12" s="34"/>
      <c r="D12" s="34"/>
      <c r="E12" s="1056"/>
      <c r="F12" s="1056"/>
      <c r="G12" s="40"/>
      <c r="H12" s="40"/>
      <c r="I12" s="1351"/>
      <c r="J12" s="1351"/>
      <c r="K12" s="34"/>
      <c r="L12" s="40"/>
    </row>
    <row r="13" spans="2:13" s="970" customFormat="1" x14ac:dyDescent="0.25">
      <c r="B13" s="34"/>
      <c r="C13" s="34"/>
      <c r="D13" s="34"/>
      <c r="E13" s="1056"/>
      <c r="F13" s="1056"/>
      <c r="G13" s="34"/>
      <c r="H13" s="34"/>
      <c r="I13" s="1351"/>
      <c r="J13" s="1351"/>
      <c r="K13" s="34"/>
      <c r="L13" s="34"/>
    </row>
  </sheetData>
  <mergeCells count="27">
    <mergeCell ref="B3:L3"/>
    <mergeCell ref="B4:B5"/>
    <mergeCell ref="E4:F4"/>
    <mergeCell ref="G4:H4"/>
    <mergeCell ref="I4:J4"/>
    <mergeCell ref="K4:L4"/>
    <mergeCell ref="B8:D8"/>
    <mergeCell ref="E8:F8"/>
    <mergeCell ref="G8:H8"/>
    <mergeCell ref="I8:J8"/>
    <mergeCell ref="K8:L8"/>
    <mergeCell ref="B7:D7"/>
    <mergeCell ref="E7:F7"/>
    <mergeCell ref="G7:H7"/>
    <mergeCell ref="I7:J7"/>
    <mergeCell ref="K7:L7"/>
    <mergeCell ref="K9:L9"/>
    <mergeCell ref="B10:D10"/>
    <mergeCell ref="E10:F10"/>
    <mergeCell ref="G10:H10"/>
    <mergeCell ref="I10:J10"/>
    <mergeCell ref="K10:L10"/>
    <mergeCell ref="I12:J13"/>
    <mergeCell ref="B9:D9"/>
    <mergeCell ref="E9:F9"/>
    <mergeCell ref="G9:H9"/>
    <mergeCell ref="I9:J9"/>
  </mergeCells>
  <conditionalFormatting sqref="F6 H6 J6 L6">
    <cfRule type="expression" dxfId="15" priority="3">
      <formula>E6=MIN($E6,$G6,$I6,$K6)</formula>
    </cfRule>
  </conditionalFormatting>
  <conditionalFormatting sqref="J6">
    <cfRule type="expression" dxfId="14" priority="1">
      <formula>I6=""</formula>
    </cfRule>
    <cfRule type="expression" dxfId="13" priority="2">
      <formula>I6=MIN($E6,$G6,$K6)</formula>
    </cfRule>
  </conditionalFormatting>
  <pageMargins left="0.25" right="0.25" top="0.75" bottom="0.75" header="0.3" footer="0.3"/>
  <pageSetup orientation="portrait" r:id="rId1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0EA0DE-BF2D-40E7-86A2-6E36C2B43A2A}">
  <dimension ref="A5:L17"/>
  <sheetViews>
    <sheetView showGridLines="0" workbookViewId="0">
      <selection activeCell="J14" sqref="J14:K14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7.140625" style="34" bestFit="1" customWidth="1"/>
    <col min="4" max="4" width="12.85546875" style="34" bestFit="1" customWidth="1"/>
    <col min="5" max="5" width="14" style="34" bestFit="1" customWidth="1"/>
    <col min="6" max="7" width="12.85546875" style="34" hidden="1" customWidth="1"/>
    <col min="8" max="9" width="14" style="34" hidden="1" customWidth="1"/>
    <col min="10" max="11" width="12.85546875" style="34" bestFit="1" customWidth="1"/>
    <col min="12" max="12" width="2.140625" style="970" bestFit="1" customWidth="1"/>
    <col min="13" max="13" width="13.42578125" style="34" bestFit="1" customWidth="1"/>
    <col min="14" max="16384" width="11.42578125" style="34"/>
  </cols>
  <sheetData>
    <row r="5" spans="1:12" ht="16.5" thickBot="1" x14ac:dyDescent="0.3"/>
    <row r="6" spans="1:12" ht="16.5" thickBot="1" x14ac:dyDescent="0.3">
      <c r="A6" s="1100" t="s">
        <v>1</v>
      </c>
      <c r="B6" s="1101"/>
      <c r="C6" s="1101"/>
      <c r="D6" s="1101"/>
      <c r="E6" s="1101"/>
      <c r="F6" s="1101"/>
      <c r="G6" s="1101"/>
      <c r="H6" s="1101"/>
      <c r="I6" s="1101"/>
      <c r="J6" s="1101"/>
      <c r="K6" s="1102"/>
    </row>
    <row r="7" spans="1:12" x14ac:dyDescent="0.25">
      <c r="A7" s="1434" t="s">
        <v>6</v>
      </c>
      <c r="B7" s="505" t="s">
        <v>17</v>
      </c>
      <c r="C7" s="506" t="s">
        <v>815</v>
      </c>
      <c r="D7" s="1435" t="s">
        <v>53</v>
      </c>
      <c r="E7" s="1435"/>
      <c r="F7" s="1435" t="s">
        <v>53</v>
      </c>
      <c r="G7" s="1435"/>
      <c r="H7" s="1435" t="s">
        <v>49</v>
      </c>
      <c r="I7" s="1435"/>
      <c r="J7" s="1435" t="s">
        <v>51</v>
      </c>
      <c r="K7" s="1436"/>
    </row>
    <row r="8" spans="1:12" ht="16.5" thickBot="1" x14ac:dyDescent="0.3">
      <c r="A8" s="1385"/>
      <c r="B8" s="392" t="s">
        <v>11</v>
      </c>
      <c r="C8" s="45" t="s">
        <v>0</v>
      </c>
      <c r="D8" s="45" t="s">
        <v>14</v>
      </c>
      <c r="E8" s="45" t="s">
        <v>10</v>
      </c>
      <c r="F8" s="45" t="s">
        <v>14</v>
      </c>
      <c r="G8" s="45" t="s">
        <v>10</v>
      </c>
      <c r="H8" s="45" t="s">
        <v>14</v>
      </c>
      <c r="I8" s="45" t="s">
        <v>10</v>
      </c>
      <c r="J8" s="45" t="s">
        <v>14</v>
      </c>
      <c r="K8" s="393" t="s">
        <v>10</v>
      </c>
    </row>
    <row r="9" spans="1:12" s="346" customFormat="1" x14ac:dyDescent="0.25">
      <c r="A9" s="1061">
        <v>1</v>
      </c>
      <c r="B9" s="507">
        <v>1</v>
      </c>
      <c r="C9" s="508" t="s">
        <v>571</v>
      </c>
      <c r="D9" s="510">
        <f>95.96*36.21</f>
        <v>3474.7115999999996</v>
      </c>
      <c r="E9" s="510">
        <f>+D9*$B9</f>
        <v>3474.7115999999996</v>
      </c>
      <c r="F9" s="510"/>
      <c r="G9" s="510">
        <f>+F9*B9</f>
        <v>0</v>
      </c>
      <c r="H9" s="510"/>
      <c r="I9" s="510" t="s">
        <v>36</v>
      </c>
      <c r="J9" s="510">
        <v>600</v>
      </c>
      <c r="K9" s="511">
        <f>+J9</f>
        <v>600</v>
      </c>
      <c r="L9" s="351"/>
    </row>
    <row r="10" spans="1:12" s="346" customFormat="1" ht="16.5" thickBot="1" x14ac:dyDescent="0.3">
      <c r="A10" s="421">
        <v>2</v>
      </c>
      <c r="B10" s="647">
        <v>1</v>
      </c>
      <c r="C10" s="589" t="s">
        <v>816</v>
      </c>
      <c r="D10" s="648">
        <f>109.45*36.21</f>
        <v>3963.1845000000003</v>
      </c>
      <c r="E10" s="648">
        <f t="shared" ref="E10" si="0">+D10*$B10</f>
        <v>3963.1845000000003</v>
      </c>
      <c r="F10" s="648"/>
      <c r="G10" s="648" t="s">
        <v>36</v>
      </c>
      <c r="H10" s="648"/>
      <c r="I10" s="648">
        <f>+H10*B10</f>
        <v>0</v>
      </c>
      <c r="J10" s="648">
        <v>800</v>
      </c>
      <c r="K10" s="649">
        <f>+J10*B10</f>
        <v>800</v>
      </c>
      <c r="L10" s="351"/>
    </row>
    <row r="11" spans="1:12" x14ac:dyDescent="0.25">
      <c r="A11" s="1094" t="s">
        <v>4</v>
      </c>
      <c r="B11" s="1095"/>
      <c r="C11" s="1095"/>
      <c r="D11" s="1399">
        <f>SUM(E9:E10)</f>
        <v>7437.8960999999999</v>
      </c>
      <c r="E11" s="1399"/>
      <c r="F11" s="1399">
        <f>SUM(G9:G10)</f>
        <v>0</v>
      </c>
      <c r="G11" s="1399"/>
      <c r="H11" s="1399">
        <f>SUM(I9:I10)</f>
        <v>0</v>
      </c>
      <c r="I11" s="1399"/>
      <c r="J11" s="1399">
        <f>SUM(K9:K10)</f>
        <v>1400</v>
      </c>
      <c r="K11" s="1403"/>
    </row>
    <row r="12" spans="1:12" x14ac:dyDescent="0.25">
      <c r="A12" s="1096" t="s">
        <v>5</v>
      </c>
      <c r="B12" s="1097"/>
      <c r="C12" s="1097"/>
      <c r="D12" s="1573">
        <v>0.2</v>
      </c>
      <c r="E12" s="1573"/>
      <c r="F12" s="1573">
        <v>0.3</v>
      </c>
      <c r="G12" s="1573"/>
      <c r="H12" s="1400">
        <v>0</v>
      </c>
      <c r="I12" s="1400"/>
      <c r="J12" s="1573">
        <v>0</v>
      </c>
      <c r="K12" s="1701"/>
    </row>
    <row r="13" spans="1:12" x14ac:dyDescent="0.25">
      <c r="A13" s="1096" t="s">
        <v>2</v>
      </c>
      <c r="B13" s="1097"/>
      <c r="C13" s="1097"/>
      <c r="D13" s="1400">
        <f>(D11)*15%</f>
        <v>1115.6844149999999</v>
      </c>
      <c r="E13" s="1400"/>
      <c r="F13" s="1400">
        <f>(F11)*15%</f>
        <v>0</v>
      </c>
      <c r="G13" s="1400"/>
      <c r="H13" s="1400">
        <f>+H11*0.15</f>
        <v>0</v>
      </c>
      <c r="I13" s="1400"/>
      <c r="J13" s="1400">
        <v>0</v>
      </c>
      <c r="K13" s="1401"/>
    </row>
    <row r="14" spans="1:12" ht="16.5" thickBot="1" x14ac:dyDescent="0.3">
      <c r="A14" s="1098" t="s">
        <v>3</v>
      </c>
      <c r="B14" s="1099"/>
      <c r="C14" s="1099"/>
      <c r="D14" s="1437">
        <f>(D11)+D13</f>
        <v>8553.5805149999997</v>
      </c>
      <c r="E14" s="1437"/>
      <c r="F14" s="1437">
        <f>(F11)+F13</f>
        <v>0</v>
      </c>
      <c r="G14" s="1437"/>
      <c r="H14" s="1437">
        <f>(H11-H12)+H13</f>
        <v>0</v>
      </c>
      <c r="I14" s="1437"/>
      <c r="J14" s="1437">
        <f>(J11-J12)+J13</f>
        <v>1400</v>
      </c>
      <c r="K14" s="1438"/>
    </row>
    <row r="16" spans="1:12" s="970" customFormat="1" x14ac:dyDescent="0.25">
      <c r="A16" s="34"/>
      <c r="B16" s="34"/>
      <c r="C16" s="34"/>
      <c r="D16" s="1351"/>
      <c r="E16" s="1351"/>
      <c r="F16" s="40"/>
      <c r="G16" s="40"/>
      <c r="H16" s="1351"/>
      <c r="I16" s="1351"/>
      <c r="J16" s="34"/>
      <c r="K16" s="40"/>
    </row>
    <row r="17" spans="1:11" s="970" customFormat="1" x14ac:dyDescent="0.25">
      <c r="A17" s="34"/>
      <c r="B17" s="34"/>
      <c r="C17" s="34"/>
      <c r="D17" s="1351"/>
      <c r="E17" s="1351"/>
      <c r="F17" s="34"/>
      <c r="G17" s="34"/>
      <c r="H17" s="1351"/>
      <c r="I17" s="1351"/>
      <c r="J17" s="34"/>
      <c r="K17" s="34"/>
    </row>
  </sheetData>
  <mergeCells count="28">
    <mergeCell ref="D16:E17"/>
    <mergeCell ref="H16:I17"/>
    <mergeCell ref="A13:C13"/>
    <mergeCell ref="D13:E13"/>
    <mergeCell ref="F13:G13"/>
    <mergeCell ref="H13:I13"/>
    <mergeCell ref="J13:K13"/>
    <mergeCell ref="A14:C14"/>
    <mergeCell ref="D14:E14"/>
    <mergeCell ref="F14:G14"/>
    <mergeCell ref="H14:I14"/>
    <mergeCell ref="J14:K14"/>
    <mergeCell ref="A11:C11"/>
    <mergeCell ref="D11:E11"/>
    <mergeCell ref="F11:G11"/>
    <mergeCell ref="H11:I11"/>
    <mergeCell ref="J11:K11"/>
    <mergeCell ref="A12:C12"/>
    <mergeCell ref="D12:E12"/>
    <mergeCell ref="F12:G12"/>
    <mergeCell ref="H12:I12"/>
    <mergeCell ref="J12:K12"/>
    <mergeCell ref="A6:K6"/>
    <mergeCell ref="A7:A8"/>
    <mergeCell ref="D7:E7"/>
    <mergeCell ref="F7:G7"/>
    <mergeCell ref="H7:I7"/>
    <mergeCell ref="J7:K7"/>
  </mergeCells>
  <conditionalFormatting sqref="E9:E10 G9:G10 I9:I10 K9:K10">
    <cfRule type="expression" dxfId="12" priority="3">
      <formula>D9=MIN($D9,$F9,$H9,$J9)</formula>
    </cfRule>
  </conditionalFormatting>
  <conditionalFormatting sqref="I9:I10">
    <cfRule type="expression" dxfId="11" priority="1">
      <formula>H9=""</formula>
    </cfRule>
    <cfRule type="expression" dxfId="10" priority="2">
      <formula>H9=MIN($D9,$F9,$J9)</formula>
    </cfRule>
  </conditionalFormatting>
  <pageMargins left="0.25" right="0.25" top="0.75" bottom="0.75" header="0.3" footer="0.3"/>
  <pageSetup orientation="portrait" r:id="rId1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E479F-5C56-4D51-8486-4825A975D56A}">
  <dimension ref="A2:N10"/>
  <sheetViews>
    <sheetView showGridLines="0" workbookViewId="0">
      <selection activeCell="C6" sqref="C6"/>
    </sheetView>
  </sheetViews>
  <sheetFormatPr baseColWidth="10" defaultRowHeight="15" x14ac:dyDescent="0.25"/>
  <cols>
    <col min="1" max="1" width="2.5703125" style="1001" bestFit="1" customWidth="1"/>
    <col min="2" max="2" width="5.85546875" style="1001" bestFit="1" customWidth="1"/>
    <col min="3" max="3" width="18.140625" style="1001" customWidth="1"/>
    <col min="4" max="4" width="11.7109375" style="1001" bestFit="1" customWidth="1"/>
    <col min="5" max="5" width="12.7109375" style="1001" bestFit="1" customWidth="1"/>
    <col min="6" max="6" width="11.7109375" style="1001" bestFit="1" customWidth="1"/>
    <col min="7" max="7" width="12.7109375" style="1001" bestFit="1" customWidth="1"/>
    <col min="8" max="8" width="11.7109375" style="1001" bestFit="1" customWidth="1"/>
    <col min="9" max="9" width="12.7109375" style="1001" bestFit="1" customWidth="1"/>
    <col min="10" max="10" width="11.7109375" style="1001" bestFit="1" customWidth="1"/>
    <col min="11" max="11" width="12.7109375" style="1001" bestFit="1" customWidth="1"/>
    <col min="12" max="12" width="3" style="1002" bestFit="1" customWidth="1"/>
    <col min="13" max="13" width="13.42578125" style="1001" bestFit="1" customWidth="1"/>
    <col min="14" max="16384" width="11.42578125" style="1001"/>
  </cols>
  <sheetData>
    <row r="2" spans="1:14" ht="15.75" thickBot="1" x14ac:dyDescent="0.3"/>
    <row r="3" spans="1:14" ht="15.75" thickBot="1" x14ac:dyDescent="0.3">
      <c r="A3" s="1666" t="s">
        <v>1</v>
      </c>
      <c r="B3" s="1667"/>
      <c r="C3" s="1667"/>
      <c r="D3" s="1668"/>
      <c r="E3" s="1668"/>
      <c r="F3" s="1668"/>
      <c r="G3" s="1668"/>
      <c r="H3" s="1668"/>
      <c r="I3" s="1668"/>
      <c r="J3" s="1668"/>
      <c r="K3" s="1669"/>
    </row>
    <row r="4" spans="1:14" ht="15.75" thickBot="1" x14ac:dyDescent="0.3">
      <c r="A4" s="1670" t="s">
        <v>6</v>
      </c>
      <c r="B4" s="1003" t="s">
        <v>17</v>
      </c>
      <c r="C4" s="1004" t="s">
        <v>766</v>
      </c>
      <c r="D4" s="1672" t="s">
        <v>818</v>
      </c>
      <c r="E4" s="1669"/>
      <c r="F4" s="1666" t="s">
        <v>819</v>
      </c>
      <c r="G4" s="1669"/>
      <c r="H4" s="1666" t="s">
        <v>67</v>
      </c>
      <c r="I4" s="1669"/>
      <c r="J4" s="1666" t="s">
        <v>820</v>
      </c>
      <c r="K4" s="1669"/>
    </row>
    <row r="5" spans="1:14" ht="15.75" thickBot="1" x14ac:dyDescent="0.3">
      <c r="A5" s="1671"/>
      <c r="B5" s="1005" t="s">
        <v>11</v>
      </c>
      <c r="C5" s="1006" t="s">
        <v>0</v>
      </c>
      <c r="D5" s="1007" t="s">
        <v>14</v>
      </c>
      <c r="E5" s="1066" t="s">
        <v>10</v>
      </c>
      <c r="F5" s="1007" t="s">
        <v>14</v>
      </c>
      <c r="G5" s="1066" t="s">
        <v>10</v>
      </c>
      <c r="H5" s="1007" t="s">
        <v>14</v>
      </c>
      <c r="I5" s="1009" t="s">
        <v>10</v>
      </c>
      <c r="J5" s="1007" t="s">
        <v>14</v>
      </c>
      <c r="K5" s="1009" t="s">
        <v>10</v>
      </c>
    </row>
    <row r="6" spans="1:14" s="1016" customFormat="1" ht="30.75" thickBot="1" x14ac:dyDescent="0.3">
      <c r="A6" s="1010">
        <v>1</v>
      </c>
      <c r="B6" s="1011">
        <v>2</v>
      </c>
      <c r="C6" s="1012" t="s">
        <v>817</v>
      </c>
      <c r="D6" s="1013">
        <v>1594.8</v>
      </c>
      <c r="E6" s="1014">
        <f>+D6*B6</f>
        <v>3189.6</v>
      </c>
      <c r="F6" s="1013">
        <f>(203.6/4)*TC!C3</f>
        <v>1816.8653199999999</v>
      </c>
      <c r="G6" s="1014">
        <f>+F6*B6</f>
        <v>3633.7306399999998</v>
      </c>
      <c r="H6" s="1013">
        <f>24.3879*120</f>
        <v>2926.5479999999998</v>
      </c>
      <c r="I6" s="1015">
        <f>+H6*B6</f>
        <v>5853.0959999999995</v>
      </c>
      <c r="J6" s="1013">
        <v>1280</v>
      </c>
      <c r="K6" s="1015">
        <f>+J6*B6</f>
        <v>2560</v>
      </c>
    </row>
    <row r="7" spans="1:14" x14ac:dyDescent="0.25">
      <c r="A7" s="1657" t="s">
        <v>4</v>
      </c>
      <c r="B7" s="1658"/>
      <c r="C7" s="1659"/>
      <c r="D7" s="1660">
        <f>SUM(E6:E6)</f>
        <v>3189.6</v>
      </c>
      <c r="E7" s="1661"/>
      <c r="F7" s="1660">
        <f>SUM(G6:G6)</f>
        <v>3633.7306399999998</v>
      </c>
      <c r="G7" s="1661"/>
      <c r="H7" s="1660">
        <f>SUM(I6:I6)</f>
        <v>5853.0959999999995</v>
      </c>
      <c r="I7" s="1662"/>
      <c r="J7" s="1660">
        <f>SUM(K6:K6)</f>
        <v>2560</v>
      </c>
      <c r="K7" s="1662"/>
    </row>
    <row r="8" spans="1:14" x14ac:dyDescent="0.25">
      <c r="A8" s="1645" t="s">
        <v>5</v>
      </c>
      <c r="B8" s="1646"/>
      <c r="C8" s="1647"/>
      <c r="D8" s="1663">
        <v>0</v>
      </c>
      <c r="E8" s="1664"/>
      <c r="F8" s="1663">
        <v>0</v>
      </c>
      <c r="G8" s="1664"/>
      <c r="H8" s="1663">
        <v>0</v>
      </c>
      <c r="I8" s="1665"/>
      <c r="J8" s="1663">
        <v>0</v>
      </c>
      <c r="K8" s="1665"/>
    </row>
    <row r="9" spans="1:14" x14ac:dyDescent="0.25">
      <c r="A9" s="1645" t="s">
        <v>2</v>
      </c>
      <c r="B9" s="1646"/>
      <c r="C9" s="1647"/>
      <c r="D9" s="1648">
        <f>+D7*0.15</f>
        <v>478.43999999999994</v>
      </c>
      <c r="E9" s="1649"/>
      <c r="F9" s="1648">
        <f>+F7*0.15</f>
        <v>545.05959599999994</v>
      </c>
      <c r="G9" s="1649"/>
      <c r="H9" s="1648">
        <f>+H7*0.15</f>
        <v>877.96439999999996</v>
      </c>
      <c r="I9" s="1650"/>
      <c r="J9" s="1648">
        <f>+J7*0.15</f>
        <v>384</v>
      </c>
      <c r="K9" s="1650"/>
    </row>
    <row r="10" spans="1:14" ht="15.75" thickBot="1" x14ac:dyDescent="0.3">
      <c r="A10" s="1651" t="s">
        <v>3</v>
      </c>
      <c r="B10" s="1652"/>
      <c r="C10" s="1653"/>
      <c r="D10" s="1654">
        <f>(D7-D8)+D9</f>
        <v>3668.04</v>
      </c>
      <c r="E10" s="1655"/>
      <c r="F10" s="1654">
        <f>(F7)+F9</f>
        <v>4178.7902359999998</v>
      </c>
      <c r="G10" s="1655"/>
      <c r="H10" s="1654">
        <f>(H7)+H9</f>
        <v>6731.0603999999994</v>
      </c>
      <c r="I10" s="1656"/>
      <c r="J10" s="1654">
        <f>(J7)+J9</f>
        <v>2944</v>
      </c>
      <c r="K10" s="1656"/>
      <c r="N10" s="1067"/>
    </row>
  </sheetData>
  <mergeCells count="26">
    <mergeCell ref="A3:K3"/>
    <mergeCell ref="A4:A5"/>
    <mergeCell ref="D4:E4"/>
    <mergeCell ref="F4:G4"/>
    <mergeCell ref="H4:I4"/>
    <mergeCell ref="J4:K4"/>
    <mergeCell ref="A8:C8"/>
    <mergeCell ref="D8:E8"/>
    <mergeCell ref="F8:G8"/>
    <mergeCell ref="H8:I8"/>
    <mergeCell ref="J8:K8"/>
    <mergeCell ref="A7:C7"/>
    <mergeCell ref="D7:E7"/>
    <mergeCell ref="F7:G7"/>
    <mergeCell ref="H7:I7"/>
    <mergeCell ref="J7:K7"/>
    <mergeCell ref="A10:C10"/>
    <mergeCell ref="D10:E10"/>
    <mergeCell ref="F10:G10"/>
    <mergeCell ref="H10:I10"/>
    <mergeCell ref="J10:K10"/>
    <mergeCell ref="A9:C9"/>
    <mergeCell ref="D9:E9"/>
    <mergeCell ref="F9:G9"/>
    <mergeCell ref="H9:I9"/>
    <mergeCell ref="J9:K9"/>
  </mergeCells>
  <pageMargins left="0.25" right="0.25" top="0.75" bottom="0.75" header="0.3" footer="0.3"/>
  <pageSetup orientation="landscape" r:id="rId1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0D0AC-20D3-462C-88FF-3831A8FB8F9B}">
  <dimension ref="B2:I12"/>
  <sheetViews>
    <sheetView showGridLines="0" workbookViewId="0">
      <selection activeCell="G7" sqref="G7:H7"/>
    </sheetView>
  </sheetViews>
  <sheetFormatPr baseColWidth="10" defaultColWidth="6.85546875" defaultRowHeight="17.25" x14ac:dyDescent="0.25"/>
  <cols>
    <col min="1" max="1" width="6.85546875" style="2"/>
    <col min="2" max="2" width="3.42578125" style="2" bestFit="1" customWidth="1"/>
    <col min="3" max="3" width="6.7109375" style="2" bestFit="1" customWidth="1"/>
    <col min="4" max="4" width="19" style="2" bestFit="1" customWidth="1"/>
    <col min="5" max="5" width="14.140625" style="2" bestFit="1" customWidth="1"/>
    <col min="6" max="6" width="15.42578125" style="2" bestFit="1" customWidth="1"/>
    <col min="7" max="7" width="14.140625" style="2" bestFit="1" customWidth="1"/>
    <col min="8" max="8" width="15.42578125" style="2" bestFit="1" customWidth="1"/>
    <col min="9" max="9" width="6.85546875" style="6"/>
    <col min="10" max="16384" width="6.8554687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9" ht="18" thickBot="1" x14ac:dyDescent="0.3">
      <c r="B4" s="1215" t="s">
        <v>6</v>
      </c>
      <c r="C4" s="29" t="s">
        <v>17</v>
      </c>
      <c r="D4" s="30" t="s">
        <v>824</v>
      </c>
      <c r="E4" s="1252" t="s">
        <v>91</v>
      </c>
      <c r="F4" s="1251"/>
      <c r="G4" s="1248" t="s">
        <v>234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1088" t="s">
        <v>10</v>
      </c>
      <c r="G5" s="31" t="s">
        <v>14</v>
      </c>
      <c r="H5" s="32" t="s">
        <v>10</v>
      </c>
    </row>
    <row r="6" spans="2:9" s="157" customFormat="1" ht="35.25" thickBot="1" x14ac:dyDescent="0.3">
      <c r="B6" s="19">
        <v>1</v>
      </c>
      <c r="C6" s="158">
        <v>2</v>
      </c>
      <c r="D6" s="159" t="s">
        <v>823</v>
      </c>
      <c r="E6" s="160">
        <v>6500</v>
      </c>
      <c r="F6" s="161">
        <f>+E6*C6</f>
        <v>13000</v>
      </c>
      <c r="G6" s="160">
        <v>7000</v>
      </c>
      <c r="H6" s="162">
        <f>+G6*C6</f>
        <v>14000</v>
      </c>
      <c r="I6" s="163"/>
    </row>
    <row r="7" spans="2:9" x14ac:dyDescent="0.25">
      <c r="B7" s="1217" t="s">
        <v>4</v>
      </c>
      <c r="C7" s="1218"/>
      <c r="D7" s="1219"/>
      <c r="E7" s="1245">
        <f>SUM(F6:F6)</f>
        <v>13000</v>
      </c>
      <c r="F7" s="1246"/>
      <c r="G7" s="1245">
        <f>SUM(H6:H6)</f>
        <v>14000</v>
      </c>
      <c r="H7" s="1247"/>
    </row>
    <row r="8" spans="2:9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4"/>
    </row>
    <row r="9" spans="2:9" x14ac:dyDescent="0.25">
      <c r="B9" s="1205" t="s">
        <v>2</v>
      </c>
      <c r="C9" s="1206"/>
      <c r="D9" s="1207"/>
      <c r="E9" s="1242">
        <v>0</v>
      </c>
      <c r="F9" s="1243"/>
      <c r="G9" s="1242">
        <v>0</v>
      </c>
      <c r="H9" s="1244"/>
    </row>
    <row r="10" spans="2:9" ht="18" thickBot="1" x14ac:dyDescent="0.3">
      <c r="B10" s="1236" t="s">
        <v>3</v>
      </c>
      <c r="C10" s="1237"/>
      <c r="D10" s="1238"/>
      <c r="E10" s="1239">
        <f>(E7-E8)+E9</f>
        <v>13000</v>
      </c>
      <c r="F10" s="1240"/>
      <c r="G10" s="1239">
        <f>(G7-G8)+G9</f>
        <v>14000</v>
      </c>
      <c r="H10" s="1241"/>
    </row>
    <row r="12" spans="2:9" x14ac:dyDescent="0.25">
      <c r="F12" s="164"/>
      <c r="G12" s="164"/>
      <c r="H12" s="16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conditionalFormatting sqref="F6 H6">
    <cfRule type="expression" dxfId="9" priority="1">
      <formula>E6=""</formula>
    </cfRule>
    <cfRule type="expression" dxfId="8" priority="2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B25DD-917A-4E1F-8D0F-60EB30F17081}">
  <dimension ref="B2:P16"/>
  <sheetViews>
    <sheetView showGridLines="0" workbookViewId="0">
      <selection activeCell="B3" sqref="B3:J3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7" style="1" bestFit="1" customWidth="1"/>
    <col min="4" max="4" width="18.7109375" style="1" bestFit="1" customWidth="1"/>
    <col min="5" max="5" width="14.140625" style="1" bestFit="1" customWidth="1"/>
    <col min="6" max="6" width="15.42578125" style="1" bestFit="1" customWidth="1"/>
    <col min="7" max="8" width="14.140625" style="1" bestFit="1" customWidth="1"/>
    <col min="9" max="9" width="12.28515625" style="1" bestFit="1" customWidth="1"/>
    <col min="10" max="10" width="14.140625" style="1" bestFit="1" customWidth="1"/>
    <col min="11" max="11" width="13.42578125" style="5" bestFit="1" customWidth="1"/>
    <col min="12" max="12" width="13.42578125" style="1" bestFit="1" customWidth="1"/>
    <col min="13" max="14" width="11.42578125" style="1"/>
    <col min="15" max="15" width="7" style="1" bestFit="1" customWidth="1"/>
    <col min="16" max="16" width="10.85546875" style="1" bestFit="1" customWidth="1"/>
    <col min="17" max="16384" width="11.42578125" style="1"/>
  </cols>
  <sheetData>
    <row r="2" spans="2:16" ht="18" thickBot="1" x14ac:dyDescent="0.35"/>
    <row r="3" spans="2:16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6" s="2" customFormat="1" ht="18" thickBot="1" x14ac:dyDescent="0.3">
      <c r="B4" s="1215" t="s">
        <v>6</v>
      </c>
      <c r="C4" s="29" t="s">
        <v>17</v>
      </c>
      <c r="D4" s="30" t="s">
        <v>825</v>
      </c>
      <c r="E4" s="1252" t="s">
        <v>826</v>
      </c>
      <c r="F4" s="1251"/>
      <c r="G4" s="1248" t="s">
        <v>827</v>
      </c>
      <c r="H4" s="1251"/>
      <c r="I4" s="1248" t="s">
        <v>389</v>
      </c>
      <c r="J4" s="1251"/>
      <c r="K4" s="6"/>
    </row>
    <row r="5" spans="2:16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1088" t="s">
        <v>10</v>
      </c>
      <c r="G5" s="31" t="s">
        <v>14</v>
      </c>
      <c r="H5" s="1088" t="s">
        <v>10</v>
      </c>
      <c r="I5" s="31" t="s">
        <v>14</v>
      </c>
      <c r="J5" s="32" t="s">
        <v>10</v>
      </c>
      <c r="K5" s="6"/>
    </row>
    <row r="6" spans="2:16" s="3" customFormat="1" x14ac:dyDescent="0.3">
      <c r="B6" s="20">
        <v>1</v>
      </c>
      <c r="C6" s="1089">
        <v>4</v>
      </c>
      <c r="D6" s="8" t="s">
        <v>828</v>
      </c>
      <c r="E6" s="25">
        <f>19*TC!C3</f>
        <v>678.20119999999997</v>
      </c>
      <c r="F6" s="23">
        <f>+E6*6</f>
        <v>4069.2071999999998</v>
      </c>
      <c r="G6" s="25">
        <v>610</v>
      </c>
      <c r="H6" s="23">
        <f t="shared" ref="H6:H8" si="0">+G6*$C6</f>
        <v>2440</v>
      </c>
      <c r="I6" s="25" t="s">
        <v>36</v>
      </c>
      <c r="J6" s="27" t="s">
        <v>36</v>
      </c>
      <c r="K6" s="7"/>
      <c r="M6" s="1091"/>
      <c r="N6" s="1091"/>
      <c r="O6" s="1091"/>
      <c r="P6" s="1091"/>
    </row>
    <row r="7" spans="2:16" s="3" customFormat="1" x14ac:dyDescent="0.3">
      <c r="B7" s="20">
        <v>2</v>
      </c>
      <c r="C7" s="1089">
        <v>4</v>
      </c>
      <c r="D7" s="8" t="s">
        <v>829</v>
      </c>
      <c r="E7" s="25" t="s">
        <v>36</v>
      </c>
      <c r="F7" s="23" t="s">
        <v>36</v>
      </c>
      <c r="G7" s="25">
        <v>460</v>
      </c>
      <c r="H7" s="23">
        <f t="shared" si="0"/>
        <v>1840</v>
      </c>
      <c r="I7" s="25" t="s">
        <v>36</v>
      </c>
      <c r="J7" s="27" t="s">
        <v>36</v>
      </c>
      <c r="K7" s="7"/>
      <c r="N7" s="1091"/>
      <c r="O7" s="1091"/>
    </row>
    <row r="8" spans="2:16" s="3" customFormat="1" x14ac:dyDescent="0.3">
      <c r="B8" s="20">
        <v>3</v>
      </c>
      <c r="C8" s="1089">
        <v>4</v>
      </c>
      <c r="D8" s="8" t="s">
        <v>830</v>
      </c>
      <c r="E8" s="25">
        <f>71.84*TC!C3</f>
        <v>2564.3144320000001</v>
      </c>
      <c r="F8" s="23">
        <f>+E8*$C8</f>
        <v>10257.257728</v>
      </c>
      <c r="G8" s="25">
        <v>1781</v>
      </c>
      <c r="H8" s="23">
        <f t="shared" si="0"/>
        <v>7124</v>
      </c>
      <c r="I8" s="25" t="s">
        <v>36</v>
      </c>
      <c r="J8" s="27" t="s">
        <v>36</v>
      </c>
      <c r="K8" s="7"/>
      <c r="N8" s="1091"/>
    </row>
    <row r="9" spans="2:16" s="3" customFormat="1" ht="18" thickBot="1" x14ac:dyDescent="0.35">
      <c r="B9" s="20">
        <v>4</v>
      </c>
      <c r="C9" s="1703">
        <v>20</v>
      </c>
      <c r="D9" s="8" t="s">
        <v>868</v>
      </c>
      <c r="E9" s="25" t="s">
        <v>36</v>
      </c>
      <c r="F9" s="23" t="s">
        <v>36</v>
      </c>
      <c r="G9" s="25">
        <v>472</v>
      </c>
      <c r="H9" s="23">
        <f>+G9*C9</f>
        <v>9440</v>
      </c>
      <c r="I9" s="25">
        <v>450</v>
      </c>
      <c r="J9" s="27">
        <f>+I9*C9</f>
        <v>9000</v>
      </c>
      <c r="K9" s="7"/>
      <c r="N9" s="1091"/>
    </row>
    <row r="10" spans="2:16" x14ac:dyDescent="0.3">
      <c r="B10" s="1217" t="s">
        <v>4</v>
      </c>
      <c r="C10" s="1218"/>
      <c r="D10" s="1219"/>
      <c r="E10" s="1245">
        <f>SUM(F6:F8)</f>
        <v>14326.464928000001</v>
      </c>
      <c r="F10" s="1246"/>
      <c r="G10" s="1245">
        <f>SUM(H6:H9)</f>
        <v>20844</v>
      </c>
      <c r="H10" s="1246"/>
      <c r="I10" s="1245">
        <f>SUM(J6:J9)</f>
        <v>9000</v>
      </c>
      <c r="J10" s="1246"/>
      <c r="N10" s="1091"/>
    </row>
    <row r="11" spans="2:16" x14ac:dyDescent="0.3">
      <c r="B11" s="1205" t="s">
        <v>87</v>
      </c>
      <c r="C11" s="1206"/>
      <c r="D11" s="1207"/>
      <c r="E11" s="1242" t="s">
        <v>831</v>
      </c>
      <c r="F11" s="1243"/>
      <c r="G11" s="1242">
        <f>+G10*0.05</f>
        <v>1042.2</v>
      </c>
      <c r="H11" s="1243"/>
      <c r="I11" s="1242">
        <v>0</v>
      </c>
      <c r="J11" s="1243"/>
      <c r="P11" s="1092"/>
    </row>
    <row r="12" spans="2:16" x14ac:dyDescent="0.3">
      <c r="B12" s="1208" t="s">
        <v>2</v>
      </c>
      <c r="C12" s="1209"/>
      <c r="D12" s="1210"/>
      <c r="E12" s="1242">
        <f>(E10)*15%</f>
        <v>2148.9697392000003</v>
      </c>
      <c r="F12" s="1243"/>
      <c r="G12" s="1242">
        <f>(G10+G11)*15%</f>
        <v>3282.93</v>
      </c>
      <c r="H12" s="1243"/>
      <c r="I12" s="1242">
        <f>(I10+I11)*15%</f>
        <v>1350</v>
      </c>
      <c r="J12" s="1243"/>
    </row>
    <row r="13" spans="2:16" ht="18" thickBot="1" x14ac:dyDescent="0.35">
      <c r="B13" s="1202" t="s">
        <v>3</v>
      </c>
      <c r="C13" s="1203"/>
      <c r="D13" s="1204"/>
      <c r="E13" s="1253">
        <f>(E10)+E12</f>
        <v>16475.434667200003</v>
      </c>
      <c r="F13" s="1254"/>
      <c r="G13" s="1253">
        <f>(G10+G11)+G12</f>
        <v>25169.13</v>
      </c>
      <c r="H13" s="1254"/>
      <c r="I13" s="1253">
        <f>(I10+I11)+I12</f>
        <v>10350</v>
      </c>
      <c r="J13" s="1254"/>
      <c r="P13" s="1092"/>
    </row>
    <row r="15" spans="2:16" x14ac:dyDescent="0.3">
      <c r="E15" s="1090"/>
      <c r="F15" s="4"/>
      <c r="G15" s="4"/>
      <c r="H15" s="4"/>
      <c r="J15" s="4"/>
    </row>
    <row r="16" spans="2:16" x14ac:dyDescent="0.3">
      <c r="F16" s="4"/>
    </row>
  </sheetData>
  <mergeCells count="21">
    <mergeCell ref="B10:D10"/>
    <mergeCell ref="E10:F10"/>
    <mergeCell ref="G10:H10"/>
    <mergeCell ref="I10:J10"/>
    <mergeCell ref="B3:J3"/>
    <mergeCell ref="B4:B5"/>
    <mergeCell ref="E4:F4"/>
    <mergeCell ref="G4:H4"/>
    <mergeCell ref="I4:J4"/>
    <mergeCell ref="B13:D13"/>
    <mergeCell ref="E13:F13"/>
    <mergeCell ref="G13:H13"/>
    <mergeCell ref="I13:J13"/>
    <mergeCell ref="B11:D11"/>
    <mergeCell ref="E11:F11"/>
    <mergeCell ref="G11:H11"/>
    <mergeCell ref="I11:J11"/>
    <mergeCell ref="B12:D12"/>
    <mergeCell ref="E12:F12"/>
    <mergeCell ref="G12:H12"/>
    <mergeCell ref="I12:J12"/>
  </mergeCells>
  <conditionalFormatting sqref="F6:F9 H6:H9 J6:J9">
    <cfRule type="expression" dxfId="7" priority="5">
      <formula>E6=""</formula>
    </cfRule>
    <cfRule type="expression" dxfId="6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A2110-29F5-4E31-B152-92DC649D78BE}">
  <sheetPr codeName="Hoja16"/>
  <dimension ref="B2:K14"/>
  <sheetViews>
    <sheetView showGridLines="0" workbookViewId="0">
      <selection activeCell="E4" sqref="E4: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2.28515625" style="1" bestFit="1" customWidth="1"/>
    <col min="6" max="6" width="14.140625" style="1" bestFit="1" customWidth="1"/>
    <col min="7" max="7" width="12.28515625" style="1" bestFit="1" customWidth="1"/>
    <col min="8" max="8" width="14.140625" style="1" bestFit="1" customWidth="1"/>
    <col min="9" max="9" width="12.28515625" style="1" bestFit="1" customWidth="1"/>
    <col min="10" max="10" width="14.1406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135</v>
      </c>
      <c r="E4" s="1252" t="s">
        <v>53</v>
      </c>
      <c r="F4" s="1251"/>
      <c r="G4" s="1248" t="s">
        <v>141</v>
      </c>
      <c r="H4" s="1251"/>
      <c r="I4" s="1248" t="s">
        <v>142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224" t="s">
        <v>10</v>
      </c>
      <c r="G5" s="31" t="s">
        <v>14</v>
      </c>
      <c r="H5" s="224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10</v>
      </c>
      <c r="D6" s="9" t="s">
        <v>136</v>
      </c>
      <c r="E6" s="24">
        <f>(16.86/6)*35.92</f>
        <v>100.93520000000001</v>
      </c>
      <c r="F6" s="23">
        <f>+E6*6</f>
        <v>605.61120000000005</v>
      </c>
      <c r="G6" s="24">
        <v>227</v>
      </c>
      <c r="H6" s="23">
        <f>+G6*C6</f>
        <v>2270</v>
      </c>
      <c r="I6" s="24">
        <v>279</v>
      </c>
      <c r="J6" s="27">
        <f>+I6*C6</f>
        <v>2790</v>
      </c>
      <c r="K6" s="7"/>
    </row>
    <row r="7" spans="2:11" s="3" customFormat="1" x14ac:dyDescent="0.3">
      <c r="B7" s="20">
        <v>2</v>
      </c>
      <c r="C7" s="17">
        <v>10</v>
      </c>
      <c r="D7" s="8" t="s">
        <v>137</v>
      </c>
      <c r="E7" s="25">
        <f>(225.4/10)*35.92</f>
        <v>809.63679999999999</v>
      </c>
      <c r="F7" s="23">
        <f t="shared" ref="F7" si="0">+E7*C7</f>
        <v>8096.3680000000004</v>
      </c>
      <c r="G7" s="25" t="s">
        <v>36</v>
      </c>
      <c r="H7" s="23" t="s">
        <v>36</v>
      </c>
      <c r="I7" s="25" t="s">
        <v>36</v>
      </c>
      <c r="J7" s="27" t="s">
        <v>36</v>
      </c>
      <c r="K7" s="7"/>
    </row>
    <row r="8" spans="2:11" s="3" customFormat="1" ht="18" thickBot="1" x14ac:dyDescent="0.35">
      <c r="B8" s="20">
        <v>3</v>
      </c>
      <c r="C8" s="17">
        <v>4</v>
      </c>
      <c r="D8" s="8" t="s">
        <v>138</v>
      </c>
      <c r="E8" s="25" t="s">
        <v>36</v>
      </c>
      <c r="F8" s="23" t="s">
        <v>36</v>
      </c>
      <c r="G8" s="25">
        <v>396</v>
      </c>
      <c r="H8" s="23">
        <f t="shared" ref="H8" si="1">+G8*C8</f>
        <v>1584</v>
      </c>
      <c r="I8" s="25">
        <v>325.5</v>
      </c>
      <c r="J8" s="27">
        <f t="shared" ref="J8" si="2">+I8*C8</f>
        <v>1302</v>
      </c>
      <c r="K8" s="7"/>
    </row>
    <row r="9" spans="2:11" x14ac:dyDescent="0.3">
      <c r="B9" s="1217" t="s">
        <v>4</v>
      </c>
      <c r="C9" s="1218"/>
      <c r="D9" s="1219"/>
      <c r="E9" s="1245">
        <f>SUM(F6:F8)</f>
        <v>8701.9791999999998</v>
      </c>
      <c r="F9" s="1246"/>
      <c r="G9" s="1245">
        <f>SUM(H6:H8)</f>
        <v>3854</v>
      </c>
      <c r="H9" s="1246"/>
      <c r="I9" s="1245">
        <f>SUM(J6:J8)</f>
        <v>4092</v>
      </c>
      <c r="J9" s="1247"/>
    </row>
    <row r="10" spans="2:11" x14ac:dyDescent="0.3">
      <c r="B10" s="1205" t="s">
        <v>5</v>
      </c>
      <c r="C10" s="1206"/>
      <c r="D10" s="1207"/>
      <c r="E10" s="1283" t="s">
        <v>140</v>
      </c>
      <c r="F10" s="1284"/>
      <c r="G10" s="1242">
        <v>0</v>
      </c>
      <c r="H10" s="1243"/>
      <c r="I10" s="1242">
        <v>0</v>
      </c>
      <c r="J10" s="1244"/>
    </row>
    <row r="11" spans="2:11" x14ac:dyDescent="0.3">
      <c r="B11" s="1208" t="s">
        <v>2</v>
      </c>
      <c r="C11" s="1209"/>
      <c r="D11" s="1210"/>
      <c r="E11" s="1242">
        <f>(E9)*15%</f>
        <v>1305.2968799999999</v>
      </c>
      <c r="F11" s="1243"/>
      <c r="G11" s="1242">
        <f>(G9-G10)*15%</f>
        <v>578.1</v>
      </c>
      <c r="H11" s="1243"/>
      <c r="I11" s="1242">
        <f>(I9-I10)*15%</f>
        <v>613.79999999999995</v>
      </c>
      <c r="J11" s="1244"/>
    </row>
    <row r="12" spans="2:11" ht="18" thickBot="1" x14ac:dyDescent="0.35">
      <c r="B12" s="1202" t="s">
        <v>3</v>
      </c>
      <c r="C12" s="1203"/>
      <c r="D12" s="1204"/>
      <c r="E12" s="1253">
        <f>(E9)+E11</f>
        <v>10007.27608</v>
      </c>
      <c r="F12" s="1254"/>
      <c r="G12" s="1253">
        <f>(G9-G10)+G11</f>
        <v>4432.1000000000004</v>
      </c>
      <c r="H12" s="1254"/>
      <c r="I12" s="1253">
        <f>(I9-I10)+I11</f>
        <v>4705.8</v>
      </c>
      <c r="J12" s="1255"/>
    </row>
    <row r="14" spans="2:11" x14ac:dyDescent="0.3">
      <c r="E14" s="225" t="s">
        <v>139</v>
      </c>
      <c r="F14" s="4"/>
      <c r="G14" s="4"/>
      <c r="H14" s="4"/>
      <c r="J14" s="4"/>
    </row>
  </sheetData>
  <mergeCells count="21">
    <mergeCell ref="B12:D12"/>
    <mergeCell ref="E12:F12"/>
    <mergeCell ref="G12:H12"/>
    <mergeCell ref="I12:J12"/>
    <mergeCell ref="B10:D10"/>
    <mergeCell ref="E10:F10"/>
    <mergeCell ref="G10:H10"/>
    <mergeCell ref="I10:J10"/>
    <mergeCell ref="B11:D11"/>
    <mergeCell ref="E11:F11"/>
    <mergeCell ref="G11:H11"/>
    <mergeCell ref="I11:J11"/>
    <mergeCell ref="B9:D9"/>
    <mergeCell ref="E9:F9"/>
    <mergeCell ref="G9:H9"/>
    <mergeCell ref="I9:J9"/>
    <mergeCell ref="B3:J3"/>
    <mergeCell ref="B4:B5"/>
    <mergeCell ref="E4:F4"/>
    <mergeCell ref="G4:H4"/>
    <mergeCell ref="I4:J4"/>
  </mergeCells>
  <conditionalFormatting sqref="F6:F8 H6:H8 J6:J8">
    <cfRule type="expression" dxfId="500" priority="5">
      <formula>E6=""</formula>
    </cfRule>
    <cfRule type="expression" dxfId="499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47E8A5-491D-4CAE-B035-57479C793E75}">
  <dimension ref="B3:G44"/>
  <sheetViews>
    <sheetView tabSelected="1" workbookViewId="0">
      <selection activeCell="E27" sqref="E27"/>
    </sheetView>
  </sheetViews>
  <sheetFormatPr baseColWidth="10" defaultRowHeight="15" x14ac:dyDescent="0.25"/>
  <cols>
    <col min="1" max="1" width="4" bestFit="1" customWidth="1"/>
    <col min="2" max="2" width="3" style="1093" bestFit="1" customWidth="1"/>
    <col min="3" max="3" width="5.85546875" bestFit="1" customWidth="1"/>
    <col min="4" max="4" width="53.42578125" bestFit="1" customWidth="1"/>
    <col min="5" max="5" width="12.7109375" bestFit="1" customWidth="1"/>
    <col min="6" max="6" width="9.5703125" bestFit="1" customWidth="1"/>
  </cols>
  <sheetData>
    <row r="3" spans="2:7" s="1093" customFormat="1" x14ac:dyDescent="0.25">
      <c r="B3" s="1093" t="s">
        <v>6</v>
      </c>
      <c r="C3" s="1093" t="s">
        <v>11</v>
      </c>
      <c r="D3" s="1093" t="s">
        <v>719</v>
      </c>
      <c r="E3" s="1093" t="s">
        <v>333</v>
      </c>
      <c r="F3" s="1093" t="s">
        <v>598</v>
      </c>
      <c r="G3" s="1093" t="s">
        <v>67</v>
      </c>
    </row>
    <row r="4" spans="2:7" x14ac:dyDescent="0.25">
      <c r="B4" s="1093">
        <v>1</v>
      </c>
      <c r="C4">
        <v>1</v>
      </c>
      <c r="D4" t="s">
        <v>832</v>
      </c>
      <c r="E4">
        <v>139.61000000000001</v>
      </c>
      <c r="F4" s="1704">
        <f>5.04*35.66</f>
        <v>179.72639999999998</v>
      </c>
      <c r="G4">
        <v>217.01</v>
      </c>
    </row>
    <row r="5" spans="2:7" x14ac:dyDescent="0.25">
      <c r="B5" s="1093">
        <v>2</v>
      </c>
      <c r="C5">
        <v>1</v>
      </c>
      <c r="D5" t="s">
        <v>833</v>
      </c>
      <c r="E5">
        <v>288.69</v>
      </c>
      <c r="F5" s="1704">
        <f>8.47*35.66</f>
        <v>302.04019999999997</v>
      </c>
      <c r="G5">
        <v>374.31</v>
      </c>
    </row>
    <row r="6" spans="2:7" x14ac:dyDescent="0.25">
      <c r="B6" s="1093">
        <v>3</v>
      </c>
      <c r="C6">
        <v>1</v>
      </c>
      <c r="D6" t="s">
        <v>834</v>
      </c>
      <c r="E6">
        <v>154.82</v>
      </c>
      <c r="F6" s="1704">
        <f>7.38*35.66</f>
        <v>263.17079999999999</v>
      </c>
      <c r="G6">
        <v>217.38</v>
      </c>
    </row>
    <row r="7" spans="2:7" x14ac:dyDescent="0.25">
      <c r="B7" s="1093">
        <v>4</v>
      </c>
      <c r="C7">
        <v>1</v>
      </c>
      <c r="D7" t="s">
        <v>835</v>
      </c>
      <c r="E7">
        <v>257.93</v>
      </c>
      <c r="F7" s="1704">
        <f>10.29*35.66</f>
        <v>366.94139999999993</v>
      </c>
      <c r="G7">
        <v>405.85</v>
      </c>
    </row>
    <row r="8" spans="2:7" x14ac:dyDescent="0.25">
      <c r="B8" s="1093">
        <v>5</v>
      </c>
      <c r="C8">
        <v>1</v>
      </c>
      <c r="D8" t="s">
        <v>836</v>
      </c>
      <c r="E8">
        <v>107.21</v>
      </c>
      <c r="F8" s="1704">
        <f>5.71*35.66</f>
        <v>203.61859999999999</v>
      </c>
      <c r="G8">
        <v>336.78</v>
      </c>
    </row>
    <row r="9" spans="2:7" x14ac:dyDescent="0.25">
      <c r="B9" s="1093">
        <v>6</v>
      </c>
      <c r="C9">
        <v>1</v>
      </c>
      <c r="D9" t="s">
        <v>837</v>
      </c>
      <c r="E9">
        <v>132.15</v>
      </c>
      <c r="F9" s="1704"/>
      <c r="G9">
        <v>397.01</v>
      </c>
    </row>
    <row r="10" spans="2:7" x14ac:dyDescent="0.25">
      <c r="B10" s="1093">
        <v>7</v>
      </c>
      <c r="C10">
        <v>1</v>
      </c>
      <c r="D10" t="s">
        <v>838</v>
      </c>
      <c r="E10">
        <v>420.42</v>
      </c>
      <c r="F10" s="1704">
        <f>24.61*35.66</f>
        <v>877.59259999999995</v>
      </c>
      <c r="G10">
        <v>301.64</v>
      </c>
    </row>
    <row r="11" spans="2:7" x14ac:dyDescent="0.25">
      <c r="B11" s="1093">
        <v>8</v>
      </c>
      <c r="C11">
        <v>1</v>
      </c>
      <c r="D11" t="s">
        <v>839</v>
      </c>
      <c r="F11" s="1704"/>
    </row>
    <row r="12" spans="2:7" x14ac:dyDescent="0.25">
      <c r="B12" s="1093">
        <v>9</v>
      </c>
      <c r="C12">
        <v>1</v>
      </c>
      <c r="D12" t="s">
        <v>840</v>
      </c>
      <c r="E12">
        <v>1197.17</v>
      </c>
      <c r="F12" s="1704">
        <f>68.7*35.66</f>
        <v>2449.8419999999996</v>
      </c>
    </row>
    <row r="13" spans="2:7" x14ac:dyDescent="0.25">
      <c r="B13" s="1093">
        <v>10</v>
      </c>
      <c r="C13">
        <v>1</v>
      </c>
      <c r="D13" t="s">
        <v>841</v>
      </c>
      <c r="E13">
        <v>168.49</v>
      </c>
      <c r="F13" s="1704"/>
    </row>
    <row r="14" spans="2:7" x14ac:dyDescent="0.25">
      <c r="B14" s="1093">
        <v>11</v>
      </c>
      <c r="C14">
        <v>1</v>
      </c>
      <c r="D14" t="s">
        <v>842</v>
      </c>
      <c r="E14">
        <v>91.32</v>
      </c>
      <c r="F14" s="1704"/>
      <c r="G14">
        <v>336.92</v>
      </c>
    </row>
    <row r="15" spans="2:7" x14ac:dyDescent="0.25">
      <c r="B15" s="1093">
        <v>12</v>
      </c>
      <c r="C15">
        <v>1</v>
      </c>
      <c r="D15" t="s">
        <v>843</v>
      </c>
      <c r="E15">
        <v>433.81</v>
      </c>
      <c r="F15" s="1704"/>
    </row>
    <row r="16" spans="2:7" x14ac:dyDescent="0.25">
      <c r="B16" s="1093">
        <v>13</v>
      </c>
      <c r="C16">
        <v>1</v>
      </c>
      <c r="D16" t="s">
        <v>844</v>
      </c>
      <c r="E16">
        <v>213.38</v>
      </c>
      <c r="F16" s="1704"/>
      <c r="G16">
        <v>226.13</v>
      </c>
    </row>
    <row r="17" spans="2:7" x14ac:dyDescent="0.25">
      <c r="B17" s="1093">
        <v>14</v>
      </c>
      <c r="C17">
        <v>1</v>
      </c>
      <c r="D17" t="s">
        <v>845</v>
      </c>
      <c r="E17">
        <v>310.63</v>
      </c>
      <c r="F17" s="1704"/>
    </row>
    <row r="18" spans="2:7" x14ac:dyDescent="0.25">
      <c r="B18" s="1093">
        <v>15</v>
      </c>
      <c r="C18">
        <v>1</v>
      </c>
      <c r="D18" t="s">
        <v>846</v>
      </c>
      <c r="E18">
        <v>221.12</v>
      </c>
      <c r="F18" s="1704"/>
      <c r="G18">
        <v>183.15</v>
      </c>
    </row>
    <row r="19" spans="2:7" x14ac:dyDescent="0.25">
      <c r="B19" s="1093">
        <v>16</v>
      </c>
      <c r="C19">
        <v>1</v>
      </c>
      <c r="D19" t="s">
        <v>847</v>
      </c>
      <c r="E19">
        <v>131.80000000000001</v>
      </c>
      <c r="F19" s="1704">
        <f>4.33*35.66</f>
        <v>154.40779999999998</v>
      </c>
      <c r="G19">
        <v>150.06</v>
      </c>
    </row>
    <row r="20" spans="2:7" x14ac:dyDescent="0.25">
      <c r="B20" s="1093">
        <v>17</v>
      </c>
      <c r="C20">
        <v>1</v>
      </c>
      <c r="D20" t="s">
        <v>848</v>
      </c>
      <c r="E20">
        <v>55.42</v>
      </c>
      <c r="F20" s="1704">
        <f>10.98*35.66</f>
        <v>391.54679999999996</v>
      </c>
      <c r="G20">
        <f>28.98+83.08</f>
        <v>112.06</v>
      </c>
    </row>
    <row r="21" spans="2:7" x14ac:dyDescent="0.25">
      <c r="B21" s="1093">
        <v>18</v>
      </c>
      <c r="C21">
        <v>300</v>
      </c>
      <c r="D21" t="s">
        <v>866</v>
      </c>
      <c r="G21">
        <f>49.9</f>
        <v>49.9</v>
      </c>
    </row>
    <row r="22" spans="2:7" ht="15.75" thickBot="1" x14ac:dyDescent="0.3">
      <c r="B22" s="1093">
        <v>19</v>
      </c>
      <c r="C22">
        <v>10</v>
      </c>
      <c r="D22" t="s">
        <v>867</v>
      </c>
      <c r="E22">
        <v>249.39</v>
      </c>
      <c r="G22">
        <v>467.41</v>
      </c>
    </row>
    <row r="23" spans="2:7" x14ac:dyDescent="0.25">
      <c r="E23" s="1705">
        <f ca="1">SUM(E4:E44)</f>
        <v>4573.3600000000006</v>
      </c>
      <c r="F23" s="1706">
        <f ca="1">SUM(F4:F44)</f>
        <v>5188.8865999999998</v>
      </c>
      <c r="G23" s="1707">
        <f ca="1">SUM(G4:G44)</f>
        <v>3775.61</v>
      </c>
    </row>
    <row r="24" spans="2:7" x14ac:dyDescent="0.25">
      <c r="E24" s="1708">
        <v>0.15</v>
      </c>
      <c r="F24" s="1709">
        <v>0</v>
      </c>
      <c r="G24" s="1710">
        <v>0</v>
      </c>
    </row>
    <row r="25" spans="2:7" x14ac:dyDescent="0.25">
      <c r="E25" s="1711">
        <f ca="1">+E23*0.15</f>
        <v>686.00400000000002</v>
      </c>
      <c r="F25" s="1712">
        <f ca="1">+F23*0.15</f>
        <v>778.33299</v>
      </c>
      <c r="G25" s="1713">
        <f ca="1">+G23*0.15</f>
        <v>566.3415</v>
      </c>
    </row>
    <row r="26" spans="2:7" ht="15.75" thickBot="1" x14ac:dyDescent="0.3">
      <c r="E26" s="1714">
        <f ca="1">+E23+E25</f>
        <v>5259.3640000000005</v>
      </c>
      <c r="F26" s="1715">
        <f ca="1">+F23+F25</f>
        <v>5967.2195899999997</v>
      </c>
      <c r="G26" s="1716">
        <f ca="1">+G23+G25</f>
        <v>4341.9515000000001</v>
      </c>
    </row>
    <row r="28" spans="2:7" x14ac:dyDescent="0.25">
      <c r="B28" s="1093">
        <v>20</v>
      </c>
      <c r="C28">
        <v>1</v>
      </c>
      <c r="D28" t="s">
        <v>849</v>
      </c>
    </row>
    <row r="29" spans="2:7" x14ac:dyDescent="0.25">
      <c r="B29" s="1093">
        <v>21</v>
      </c>
      <c r="C29">
        <v>1</v>
      </c>
      <c r="D29" t="s">
        <v>850</v>
      </c>
    </row>
    <row r="30" spans="2:7" x14ac:dyDescent="0.25">
      <c r="B30" s="1093">
        <v>22</v>
      </c>
      <c r="C30">
        <v>1</v>
      </c>
      <c r="D30" t="s">
        <v>851</v>
      </c>
    </row>
    <row r="31" spans="2:7" x14ac:dyDescent="0.25">
      <c r="B31" s="1093">
        <v>23</v>
      </c>
      <c r="C31">
        <v>1</v>
      </c>
      <c r="D31" t="s">
        <v>852</v>
      </c>
    </row>
    <row r="32" spans="2:7" x14ac:dyDescent="0.25">
      <c r="B32" s="1093">
        <v>24</v>
      </c>
      <c r="C32">
        <v>1</v>
      </c>
      <c r="D32" t="s">
        <v>853</v>
      </c>
    </row>
    <row r="33" spans="2:4" x14ac:dyDescent="0.25">
      <c r="B33" s="1093">
        <v>25</v>
      </c>
      <c r="C33">
        <v>1</v>
      </c>
      <c r="D33" t="s">
        <v>854</v>
      </c>
    </row>
    <row r="34" spans="2:4" x14ac:dyDescent="0.25">
      <c r="B34" s="1093">
        <v>26</v>
      </c>
      <c r="C34">
        <v>1</v>
      </c>
      <c r="D34" t="s">
        <v>855</v>
      </c>
    </row>
    <row r="35" spans="2:4" x14ac:dyDescent="0.25">
      <c r="B35" s="1093">
        <v>27</v>
      </c>
      <c r="C35">
        <v>1</v>
      </c>
      <c r="D35" t="s">
        <v>856</v>
      </c>
    </row>
    <row r="36" spans="2:4" x14ac:dyDescent="0.25">
      <c r="B36" s="1093">
        <v>28</v>
      </c>
      <c r="C36">
        <v>30</v>
      </c>
      <c r="D36" t="s">
        <v>860</v>
      </c>
    </row>
    <row r="37" spans="2:4" x14ac:dyDescent="0.25">
      <c r="B37" s="1093">
        <v>29</v>
      </c>
      <c r="C37">
        <v>30</v>
      </c>
      <c r="D37" t="s">
        <v>861</v>
      </c>
    </row>
    <row r="38" spans="2:4" x14ac:dyDescent="0.25">
      <c r="B38" s="1093">
        <v>30</v>
      </c>
      <c r="C38">
        <v>30</v>
      </c>
      <c r="D38" t="s">
        <v>862</v>
      </c>
    </row>
    <row r="39" spans="2:4" x14ac:dyDescent="0.25">
      <c r="B39" s="1093">
        <v>31</v>
      </c>
      <c r="C39">
        <v>30</v>
      </c>
      <c r="D39" t="s">
        <v>863</v>
      </c>
    </row>
    <row r="40" spans="2:4" x14ac:dyDescent="0.25">
      <c r="B40" s="1093">
        <v>32</v>
      </c>
      <c r="C40">
        <v>2</v>
      </c>
      <c r="D40" t="s">
        <v>864</v>
      </c>
    </row>
    <row r="41" spans="2:4" x14ac:dyDescent="0.25">
      <c r="B41" s="1093">
        <v>33</v>
      </c>
      <c r="C41">
        <v>1</v>
      </c>
      <c r="D41" t="s">
        <v>857</v>
      </c>
    </row>
    <row r="42" spans="2:4" x14ac:dyDescent="0.25">
      <c r="B42" s="1093">
        <v>34</v>
      </c>
      <c r="C42">
        <v>1</v>
      </c>
      <c r="D42" t="s">
        <v>858</v>
      </c>
    </row>
    <row r="43" spans="2:4" x14ac:dyDescent="0.25">
      <c r="B43" s="1093">
        <v>35</v>
      </c>
      <c r="C43">
        <v>50</v>
      </c>
      <c r="D43" t="s">
        <v>865</v>
      </c>
    </row>
    <row r="44" spans="2:4" x14ac:dyDescent="0.25">
      <c r="B44" s="1093">
        <v>36</v>
      </c>
      <c r="C44">
        <v>1</v>
      </c>
      <c r="D44" t="s">
        <v>859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67DEA-ED52-4ADC-B059-0D2D5EC5CDB7}">
  <sheetPr codeName="Hoja154"/>
  <dimension ref="C2:E4"/>
  <sheetViews>
    <sheetView workbookViewId="0">
      <selection activeCell="C3" sqref="C3"/>
    </sheetView>
  </sheetViews>
  <sheetFormatPr baseColWidth="10" defaultRowHeight="15" x14ac:dyDescent="0.25"/>
  <sheetData>
    <row r="2" spans="3:5" x14ac:dyDescent="0.25">
      <c r="C2" t="s">
        <v>761</v>
      </c>
    </row>
    <row r="3" spans="3:5" x14ac:dyDescent="0.25">
      <c r="C3">
        <v>35.694800000000001</v>
      </c>
    </row>
    <row r="4" spans="3:5" x14ac:dyDescent="0.25">
      <c r="E4" s="609"/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50C1AA-0553-4CCC-B73A-D5E62ED205A7}">
  <sheetPr codeName="Hoja155"/>
  <dimension ref="B2:K16"/>
  <sheetViews>
    <sheetView showGridLines="0" workbookViewId="0">
      <selection activeCell="F20" sqref="F20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2.28515625" style="1" bestFit="1" customWidth="1"/>
    <col min="6" max="6" width="10.85546875" style="1" bestFit="1" customWidth="1"/>
    <col min="7" max="7" width="12.28515625" style="1" bestFit="1" customWidth="1"/>
    <col min="8" max="8" width="10.85546875" style="1" bestFit="1" customWidth="1"/>
    <col min="9" max="9" width="12.28515625" style="1" bestFit="1" customWidth="1"/>
    <col min="10" max="10" width="10.8554687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16</v>
      </c>
      <c r="E4" s="1252" t="s">
        <v>7</v>
      </c>
      <c r="F4" s="1251"/>
      <c r="G4" s="1248" t="s">
        <v>8</v>
      </c>
      <c r="H4" s="1251"/>
      <c r="I4" s="1248" t="s">
        <v>9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28" t="s">
        <v>10</v>
      </c>
      <c r="G5" s="31" t="s">
        <v>14</v>
      </c>
      <c r="H5" s="28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/>
      <c r="D6" s="9"/>
      <c r="E6" s="24"/>
      <c r="F6" s="23">
        <f>+E6*$C6</f>
        <v>0</v>
      </c>
      <c r="G6" s="24"/>
      <c r="H6" s="23">
        <f>+G6*$C6</f>
        <v>0</v>
      </c>
      <c r="I6" s="24"/>
      <c r="J6" s="27">
        <f>+I6*$C6</f>
        <v>0</v>
      </c>
      <c r="K6" s="7"/>
    </row>
    <row r="7" spans="2:11" s="3" customFormat="1" x14ac:dyDescent="0.3">
      <c r="B7" s="20">
        <v>2</v>
      </c>
      <c r="C7" s="17"/>
      <c r="D7" s="8"/>
      <c r="E7" s="25"/>
      <c r="F7" s="23">
        <f t="shared" ref="F7:F9" si="0">+E7*$C7</f>
        <v>0</v>
      </c>
      <c r="G7" s="25"/>
      <c r="H7" s="23">
        <f t="shared" ref="H7:H10" si="1">+G7*$C7</f>
        <v>0</v>
      </c>
      <c r="I7" s="25"/>
      <c r="J7" s="27">
        <f t="shared" ref="J7:J10" si="2">+I7*$C7</f>
        <v>0</v>
      </c>
      <c r="K7" s="7"/>
    </row>
    <row r="8" spans="2:11" s="3" customFormat="1" x14ac:dyDescent="0.3">
      <c r="B8" s="20">
        <v>3</v>
      </c>
      <c r="C8" s="17"/>
      <c r="D8" s="8"/>
      <c r="E8" s="25"/>
      <c r="F8" s="23">
        <f t="shared" si="0"/>
        <v>0</v>
      </c>
      <c r="G8" s="25"/>
      <c r="H8" s="23">
        <f t="shared" si="1"/>
        <v>0</v>
      </c>
      <c r="I8" s="25"/>
      <c r="J8" s="27">
        <f t="shared" si="2"/>
        <v>0</v>
      </c>
      <c r="K8" s="7"/>
    </row>
    <row r="9" spans="2:11" s="3" customFormat="1" x14ac:dyDescent="0.3">
      <c r="B9" s="20">
        <v>4</v>
      </c>
      <c r="C9" s="17"/>
      <c r="D9" s="8"/>
      <c r="E9" s="25"/>
      <c r="F9" s="23">
        <f t="shared" si="0"/>
        <v>0</v>
      </c>
      <c r="G9" s="25"/>
      <c r="H9" s="23">
        <f t="shared" si="1"/>
        <v>0</v>
      </c>
      <c r="I9" s="25"/>
      <c r="J9" s="27">
        <f t="shared" si="2"/>
        <v>0</v>
      </c>
      <c r="K9" s="7"/>
    </row>
    <row r="10" spans="2:11" s="3" customFormat="1" ht="18" thickBot="1" x14ac:dyDescent="0.35">
      <c r="B10" s="22">
        <v>5</v>
      </c>
      <c r="C10" s="18"/>
      <c r="D10" s="10"/>
      <c r="E10" s="26"/>
      <c r="F10" s="23">
        <f>+E10*$C10</f>
        <v>0</v>
      </c>
      <c r="G10" s="26"/>
      <c r="H10" s="23">
        <f t="shared" si="1"/>
        <v>0</v>
      </c>
      <c r="I10" s="26"/>
      <c r="J10" s="27">
        <f t="shared" si="2"/>
        <v>0</v>
      </c>
      <c r="K10" s="7"/>
    </row>
    <row r="11" spans="2:11" x14ac:dyDescent="0.3">
      <c r="B11" s="1217" t="s">
        <v>4</v>
      </c>
      <c r="C11" s="1218"/>
      <c r="D11" s="1219"/>
      <c r="E11" s="1245">
        <f>SUM(F6:F10)</f>
        <v>0</v>
      </c>
      <c r="F11" s="1246"/>
      <c r="G11" s="1245">
        <f>SUM(H6:H10)</f>
        <v>0</v>
      </c>
      <c r="H11" s="1246"/>
      <c r="I11" s="1245">
        <f>SUM(J6:J10)</f>
        <v>0</v>
      </c>
      <c r="J11" s="1247"/>
    </row>
    <row r="12" spans="2:11" x14ac:dyDescent="0.3">
      <c r="B12" s="1205" t="s">
        <v>5</v>
      </c>
      <c r="C12" s="1206"/>
      <c r="D12" s="1207"/>
      <c r="E12" s="1242">
        <v>0</v>
      </c>
      <c r="F12" s="1243"/>
      <c r="G12" s="1242">
        <v>0</v>
      </c>
      <c r="H12" s="1243"/>
      <c r="I12" s="1242">
        <v>0</v>
      </c>
      <c r="J12" s="1244"/>
    </row>
    <row r="13" spans="2:11" x14ac:dyDescent="0.3">
      <c r="B13" s="1208" t="s">
        <v>2</v>
      </c>
      <c r="C13" s="1209"/>
      <c r="D13" s="1210"/>
      <c r="E13" s="1242">
        <f>(E11-E12)*15%</f>
        <v>0</v>
      </c>
      <c r="F13" s="1243"/>
      <c r="G13" s="1242">
        <f>(G11-G12)*15%</f>
        <v>0</v>
      </c>
      <c r="H13" s="1243"/>
      <c r="I13" s="1242">
        <f>(I11-I12)*15%</f>
        <v>0</v>
      </c>
      <c r="J13" s="1244"/>
    </row>
    <row r="14" spans="2:11" ht="18" thickBot="1" x14ac:dyDescent="0.35">
      <c r="B14" s="1202" t="s">
        <v>3</v>
      </c>
      <c r="C14" s="1203"/>
      <c r="D14" s="1204"/>
      <c r="E14" s="1253">
        <f>(E11-E12)+E13</f>
        <v>0</v>
      </c>
      <c r="F14" s="1254"/>
      <c r="G14" s="1253">
        <f>(G11-G12)+G13</f>
        <v>0</v>
      </c>
      <c r="H14" s="1254"/>
      <c r="I14" s="1253">
        <f>(I11-I12)+I13</f>
        <v>0</v>
      </c>
      <c r="J14" s="1255"/>
    </row>
    <row r="16" spans="2:11" x14ac:dyDescent="0.3">
      <c r="F16" s="4"/>
      <c r="G16" s="4"/>
      <c r="H16" s="4"/>
      <c r="J16" s="4"/>
    </row>
  </sheetData>
  <mergeCells count="21">
    <mergeCell ref="B3:J3"/>
    <mergeCell ref="B11:D11"/>
    <mergeCell ref="B12:D12"/>
    <mergeCell ref="B13:D13"/>
    <mergeCell ref="I12:J12"/>
    <mergeCell ref="I11:J11"/>
    <mergeCell ref="B14:D14"/>
    <mergeCell ref="E4:F4"/>
    <mergeCell ref="I4:J4"/>
    <mergeCell ref="G4:H4"/>
    <mergeCell ref="B4:B5"/>
    <mergeCell ref="E11:F11"/>
    <mergeCell ref="E12:F12"/>
    <mergeCell ref="E13:F13"/>
    <mergeCell ref="E14:F14"/>
    <mergeCell ref="G14:H14"/>
    <mergeCell ref="G13:H13"/>
    <mergeCell ref="G12:H12"/>
    <mergeCell ref="G11:H11"/>
    <mergeCell ref="I14:J14"/>
    <mergeCell ref="I13:J13"/>
  </mergeCells>
  <conditionalFormatting sqref="F6:F10">
    <cfRule type="expression" dxfId="5" priority="5">
      <formula>E6=""</formula>
    </cfRule>
    <cfRule type="expression" dxfId="4" priority="8">
      <formula>E6=MIN($E6,$G6,$I6)</formula>
    </cfRule>
  </conditionalFormatting>
  <conditionalFormatting sqref="H6:H10">
    <cfRule type="expression" dxfId="3" priority="3">
      <formula>G6=""</formula>
    </cfRule>
    <cfRule type="expression" dxfId="2" priority="4">
      <formula>G6=MIN($E6,$G6,$I6)</formula>
    </cfRule>
  </conditionalFormatting>
  <conditionalFormatting sqref="J6:J10">
    <cfRule type="expression" dxfId="1" priority="1">
      <formula>I6=""</formula>
    </cfRule>
    <cfRule type="expression" dxfId="0" priority="2">
      <formula>I6=MIN($E6,$G6,$I6)</formula>
    </cfRule>
  </conditionalFormatting>
  <pageMargins left="0.25" right="0.25" top="0.75" bottom="0.75" header="0.3" footer="0.3"/>
  <pageSetup orientation="landscape" r:id="rId1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94BB3-03FE-41F3-AC17-A0C9EF37F74A}">
  <sheetPr codeName="Hoja156"/>
  <dimension ref="B2:D4"/>
  <sheetViews>
    <sheetView workbookViewId="0">
      <selection activeCell="C4" sqref="C4"/>
    </sheetView>
  </sheetViews>
  <sheetFormatPr baseColWidth="10" defaultRowHeight="15" x14ac:dyDescent="0.25"/>
  <cols>
    <col min="1" max="1" width="11.42578125" style="12"/>
    <col min="2" max="4" width="11.42578125" style="11"/>
    <col min="5" max="16384" width="11.42578125" style="12"/>
  </cols>
  <sheetData>
    <row r="2" spans="2:4" x14ac:dyDescent="0.25">
      <c r="B2" s="1702" t="s">
        <v>13</v>
      </c>
      <c r="C2" s="1702"/>
      <c r="D2" s="15"/>
    </row>
    <row r="3" spans="2:4" s="11" customFormat="1" x14ac:dyDescent="0.25">
      <c r="B3" s="13" t="s">
        <v>12</v>
      </c>
      <c r="C3" s="13" t="s">
        <v>15</v>
      </c>
      <c r="D3" s="13"/>
    </row>
    <row r="4" spans="2:4" x14ac:dyDescent="0.25">
      <c r="B4" s="14">
        <v>44470</v>
      </c>
    </row>
  </sheetData>
  <mergeCells count="1">
    <mergeCell ref="B2:C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CC5C9-7672-445E-8C97-D5D03FE852D1}">
  <sheetPr codeName="Hoja17"/>
  <dimension ref="B2:G39"/>
  <sheetViews>
    <sheetView workbookViewId="0">
      <selection activeCell="D5" sqref="D5"/>
    </sheetView>
  </sheetViews>
  <sheetFormatPr baseColWidth="10" defaultColWidth="20.42578125" defaultRowHeight="17.25" x14ac:dyDescent="0.25"/>
  <cols>
    <col min="1" max="1" width="3.85546875" style="2" bestFit="1" customWidth="1"/>
    <col min="2" max="2" width="12" style="2" bestFit="1" customWidth="1"/>
    <col min="3" max="3" width="48.85546875" style="2" bestFit="1" customWidth="1"/>
    <col min="4" max="4" width="12.7109375" style="2" bestFit="1" customWidth="1"/>
    <col min="5" max="5" width="12.85546875" style="2" bestFit="1" customWidth="1"/>
    <col min="6" max="6" width="12.7109375" style="2" bestFit="1" customWidth="1"/>
    <col min="7" max="16384" width="20.42578125" style="2"/>
  </cols>
  <sheetData>
    <row r="2" spans="2:7" x14ac:dyDescent="0.25">
      <c r="B2" s="226"/>
    </row>
    <row r="3" spans="2:7" ht="18" thickBot="1" x14ac:dyDescent="0.3"/>
    <row r="4" spans="2:7" ht="18" thickBot="1" x14ac:dyDescent="0.3">
      <c r="B4" s="1285" t="s">
        <v>1</v>
      </c>
      <c r="C4" s="1249"/>
      <c r="D4" s="1249"/>
      <c r="E4" s="1249"/>
      <c r="F4" s="1286"/>
    </row>
    <row r="5" spans="2:7" ht="18" thickBot="1" x14ac:dyDescent="0.3">
      <c r="B5" s="221" t="s">
        <v>143</v>
      </c>
      <c r="C5" s="223" t="s">
        <v>0</v>
      </c>
      <c r="D5" s="221" t="s">
        <v>144</v>
      </c>
      <c r="E5" s="222" t="s">
        <v>145</v>
      </c>
      <c r="F5" s="223" t="s">
        <v>146</v>
      </c>
    </row>
    <row r="6" spans="2:7" x14ac:dyDescent="0.25">
      <c r="B6" s="227">
        <v>50</v>
      </c>
      <c r="C6" s="228" t="s">
        <v>147</v>
      </c>
      <c r="D6" s="229">
        <v>5357.5</v>
      </c>
      <c r="E6" s="230">
        <f>108*B6</f>
        <v>5400</v>
      </c>
      <c r="F6" s="231">
        <v>5569</v>
      </c>
    </row>
    <row r="7" spans="2:7" x14ac:dyDescent="0.25">
      <c r="B7" s="232">
        <v>20</v>
      </c>
      <c r="C7" s="233" t="s">
        <v>148</v>
      </c>
      <c r="D7" s="234">
        <v>2730.8</v>
      </c>
      <c r="E7" s="235">
        <v>3182.6</v>
      </c>
      <c r="F7" s="236">
        <v>2866.8</v>
      </c>
    </row>
    <row r="8" spans="2:7" x14ac:dyDescent="0.25">
      <c r="B8" s="232">
        <v>84</v>
      </c>
      <c r="C8" s="233" t="s">
        <v>149</v>
      </c>
      <c r="D8" s="234">
        <v>259.35000000000002</v>
      </c>
      <c r="E8" s="235">
        <v>441</v>
      </c>
      <c r="F8" s="236">
        <v>393.96</v>
      </c>
    </row>
    <row r="9" spans="2:7" x14ac:dyDescent="0.25">
      <c r="B9" s="232">
        <v>84</v>
      </c>
      <c r="C9" s="233" t="s">
        <v>150</v>
      </c>
      <c r="D9" s="234">
        <v>259.35000000000002</v>
      </c>
      <c r="E9" s="235">
        <v>441</v>
      </c>
      <c r="F9" s="236">
        <v>393.96</v>
      </c>
    </row>
    <row r="10" spans="2:7" x14ac:dyDescent="0.25">
      <c r="B10" s="232">
        <v>24</v>
      </c>
      <c r="C10" s="233" t="s">
        <v>151</v>
      </c>
      <c r="D10" s="234">
        <v>74.099999999999994</v>
      </c>
      <c r="E10" s="235">
        <v>126</v>
      </c>
      <c r="F10" s="236" t="s">
        <v>36</v>
      </c>
    </row>
    <row r="11" spans="2:7" x14ac:dyDescent="0.25">
      <c r="B11" s="232">
        <v>18</v>
      </c>
      <c r="C11" s="233" t="s">
        <v>152</v>
      </c>
      <c r="D11" s="234">
        <v>179.82</v>
      </c>
      <c r="E11" s="235">
        <v>299.7</v>
      </c>
      <c r="F11" s="236">
        <v>268.92</v>
      </c>
    </row>
    <row r="12" spans="2:7" x14ac:dyDescent="0.25">
      <c r="B12" s="232">
        <v>18</v>
      </c>
      <c r="C12" s="233" t="s">
        <v>153</v>
      </c>
      <c r="D12" s="234">
        <v>179.82</v>
      </c>
      <c r="E12" s="235">
        <v>299.7</v>
      </c>
      <c r="F12" s="236">
        <v>268.92</v>
      </c>
    </row>
    <row r="13" spans="2:7" x14ac:dyDescent="0.25">
      <c r="B13" s="232">
        <v>12</v>
      </c>
      <c r="C13" s="233" t="s">
        <v>154</v>
      </c>
      <c r="D13" s="234">
        <v>119.88</v>
      </c>
      <c r="E13" s="235">
        <v>199.92</v>
      </c>
      <c r="F13" s="236">
        <v>179.28</v>
      </c>
    </row>
    <row r="14" spans="2:7" x14ac:dyDescent="0.25">
      <c r="B14" s="232">
        <v>18</v>
      </c>
      <c r="C14" s="233" t="s">
        <v>155</v>
      </c>
      <c r="D14" s="234">
        <v>165.96</v>
      </c>
      <c r="E14" s="235">
        <v>197.1</v>
      </c>
      <c r="F14" s="236">
        <f>6.44*B14</f>
        <v>115.92</v>
      </c>
      <c r="G14" s="164"/>
    </row>
    <row r="15" spans="2:7" x14ac:dyDescent="0.25">
      <c r="B15" s="232">
        <v>12</v>
      </c>
      <c r="C15" s="233" t="s">
        <v>156</v>
      </c>
      <c r="D15" s="234">
        <v>222.6</v>
      </c>
      <c r="E15" s="235">
        <v>287.39999999999998</v>
      </c>
      <c r="F15" s="236">
        <v>299.52</v>
      </c>
    </row>
    <row r="16" spans="2:7" x14ac:dyDescent="0.25">
      <c r="B16" s="232">
        <v>20</v>
      </c>
      <c r="C16" s="233" t="s">
        <v>157</v>
      </c>
      <c r="D16" s="234">
        <v>587.6</v>
      </c>
      <c r="E16" s="235">
        <v>588</v>
      </c>
      <c r="F16" s="236">
        <v>516</v>
      </c>
    </row>
    <row r="17" spans="2:6" x14ac:dyDescent="0.25">
      <c r="B17" s="232">
        <v>3</v>
      </c>
      <c r="C17" s="233" t="s">
        <v>158</v>
      </c>
      <c r="D17" s="234">
        <v>303.60000000000002</v>
      </c>
      <c r="E17" s="235">
        <v>345</v>
      </c>
      <c r="F17" s="236">
        <v>288</v>
      </c>
    </row>
    <row r="18" spans="2:6" x14ac:dyDescent="0.25">
      <c r="B18" s="232">
        <v>30</v>
      </c>
      <c r="C18" s="233" t="s">
        <v>159</v>
      </c>
      <c r="D18" s="234">
        <v>1526.4</v>
      </c>
      <c r="E18" s="235">
        <v>1635.6</v>
      </c>
      <c r="F18" s="236">
        <v>1799.7</v>
      </c>
    </row>
    <row r="19" spans="2:6" x14ac:dyDescent="0.25">
      <c r="B19" s="232">
        <v>8</v>
      </c>
      <c r="C19" s="233" t="s">
        <v>160</v>
      </c>
      <c r="D19" s="234">
        <v>334.24</v>
      </c>
      <c r="E19" s="235">
        <v>223.6</v>
      </c>
      <c r="F19" s="236">
        <v>458.24</v>
      </c>
    </row>
    <row r="20" spans="2:6" x14ac:dyDescent="0.25">
      <c r="B20" s="232">
        <v>4</v>
      </c>
      <c r="C20" s="233" t="s">
        <v>161</v>
      </c>
      <c r="D20" s="234">
        <v>74</v>
      </c>
      <c r="E20" s="235">
        <v>62</v>
      </c>
      <c r="F20" s="236">
        <v>224.8</v>
      </c>
    </row>
    <row r="21" spans="2:6" x14ac:dyDescent="0.25">
      <c r="B21" s="232">
        <v>8</v>
      </c>
      <c r="C21" s="233" t="s">
        <v>162</v>
      </c>
      <c r="D21" s="234">
        <v>1630.8</v>
      </c>
      <c r="E21" s="235">
        <v>1620</v>
      </c>
      <c r="F21" s="236">
        <v>1508.8</v>
      </c>
    </row>
    <row r="22" spans="2:6" x14ac:dyDescent="0.25">
      <c r="B22" s="232">
        <v>10</v>
      </c>
      <c r="C22" s="233" t="s">
        <v>163</v>
      </c>
      <c r="D22" s="234">
        <v>216.2</v>
      </c>
      <c r="E22" s="235">
        <v>285</v>
      </c>
      <c r="F22" s="236">
        <v>250</v>
      </c>
    </row>
    <row r="23" spans="2:6" x14ac:dyDescent="0.25">
      <c r="B23" s="232">
        <v>5</v>
      </c>
      <c r="C23" s="233" t="s">
        <v>164</v>
      </c>
      <c r="D23" s="234">
        <v>20.149999999999999</v>
      </c>
      <c r="E23" s="235">
        <v>19.75</v>
      </c>
      <c r="F23" s="236">
        <v>16.600000000000001</v>
      </c>
    </row>
    <row r="24" spans="2:6" x14ac:dyDescent="0.25">
      <c r="B24" s="232">
        <v>4</v>
      </c>
      <c r="C24" s="233" t="s">
        <v>165</v>
      </c>
      <c r="D24" s="234">
        <v>663.12</v>
      </c>
      <c r="E24" s="235">
        <v>786.6</v>
      </c>
      <c r="F24" s="236">
        <v>478.48</v>
      </c>
    </row>
    <row r="25" spans="2:6" x14ac:dyDescent="0.25">
      <c r="B25" s="232">
        <v>2</v>
      </c>
      <c r="C25" s="233" t="s">
        <v>166</v>
      </c>
      <c r="D25" s="234">
        <v>386.98</v>
      </c>
      <c r="E25" s="235">
        <v>451.56</v>
      </c>
      <c r="F25" s="236">
        <v>362.08</v>
      </c>
    </row>
    <row r="26" spans="2:6" x14ac:dyDescent="0.25">
      <c r="B26" s="232">
        <v>4</v>
      </c>
      <c r="C26" s="233" t="s">
        <v>167</v>
      </c>
      <c r="D26" s="234">
        <v>302.72000000000003</v>
      </c>
      <c r="E26" s="235">
        <v>313</v>
      </c>
      <c r="F26" s="236">
        <v>162.16</v>
      </c>
    </row>
    <row r="27" spans="2:6" x14ac:dyDescent="0.25">
      <c r="B27" s="232">
        <v>10</v>
      </c>
      <c r="C27" s="233" t="s">
        <v>168</v>
      </c>
      <c r="D27" s="234">
        <v>203.7</v>
      </c>
      <c r="E27" s="235">
        <v>274.3</v>
      </c>
      <c r="F27" s="236">
        <v>232.2</v>
      </c>
    </row>
    <row r="28" spans="2:6" x14ac:dyDescent="0.25">
      <c r="B28" s="232">
        <v>6</v>
      </c>
      <c r="C28" s="233" t="s">
        <v>169</v>
      </c>
      <c r="D28" s="234">
        <v>159.24</v>
      </c>
      <c r="E28" s="235">
        <v>199.44</v>
      </c>
      <c r="F28" s="236">
        <v>165.66</v>
      </c>
    </row>
    <row r="29" spans="2:6" x14ac:dyDescent="0.25">
      <c r="B29" s="232">
        <v>6</v>
      </c>
      <c r="C29" s="233" t="s">
        <v>170</v>
      </c>
      <c r="D29" s="234">
        <v>190.44</v>
      </c>
      <c r="E29" s="235">
        <v>81</v>
      </c>
      <c r="F29" s="236">
        <v>200.58</v>
      </c>
    </row>
    <row r="30" spans="2:6" x14ac:dyDescent="0.25">
      <c r="B30" s="232">
        <v>6</v>
      </c>
      <c r="C30" s="233" t="s">
        <v>171</v>
      </c>
      <c r="D30" s="234">
        <v>320.22000000000003</v>
      </c>
      <c r="E30" s="235">
        <v>597</v>
      </c>
      <c r="F30" s="236">
        <v>429</v>
      </c>
    </row>
    <row r="31" spans="2:6" x14ac:dyDescent="0.25">
      <c r="B31" s="232">
        <v>12</v>
      </c>
      <c r="C31" s="233" t="s">
        <v>172</v>
      </c>
      <c r="D31" s="234">
        <v>23.88</v>
      </c>
      <c r="E31" s="235">
        <v>31.8</v>
      </c>
      <c r="F31" s="236">
        <v>60.96</v>
      </c>
    </row>
    <row r="32" spans="2:6" x14ac:dyDescent="0.25">
      <c r="B32" s="232">
        <v>6</v>
      </c>
      <c r="C32" s="233" t="s">
        <v>173</v>
      </c>
      <c r="D32" s="234">
        <v>32.64</v>
      </c>
      <c r="E32" s="235">
        <v>22.8</v>
      </c>
      <c r="F32" s="236">
        <v>13.68</v>
      </c>
    </row>
    <row r="33" spans="2:6" x14ac:dyDescent="0.25">
      <c r="B33" s="232">
        <v>8</v>
      </c>
      <c r="C33" s="233" t="s">
        <v>174</v>
      </c>
      <c r="D33" s="234">
        <f>52.56*B33</f>
        <v>420.48</v>
      </c>
      <c r="E33" s="235">
        <v>194</v>
      </c>
      <c r="F33" s="236">
        <v>176</v>
      </c>
    </row>
    <row r="34" spans="2:6" x14ac:dyDescent="0.25">
      <c r="B34" s="232">
        <v>3</v>
      </c>
      <c r="C34" s="233" t="s">
        <v>175</v>
      </c>
      <c r="D34" s="234">
        <v>52.47</v>
      </c>
      <c r="E34" s="235">
        <v>26.85</v>
      </c>
      <c r="F34" s="236">
        <v>19.98</v>
      </c>
    </row>
    <row r="35" spans="2:6" ht="18" thickBot="1" x14ac:dyDescent="0.3">
      <c r="B35" s="237">
        <v>12</v>
      </c>
      <c r="C35" s="238" t="s">
        <v>176</v>
      </c>
      <c r="D35" s="239">
        <v>111.12</v>
      </c>
      <c r="E35" s="240">
        <v>150</v>
      </c>
      <c r="F35" s="241">
        <v>116.64</v>
      </c>
    </row>
    <row r="36" spans="2:6" x14ac:dyDescent="0.25">
      <c r="B36" s="1217" t="s">
        <v>4</v>
      </c>
      <c r="C36" s="1275"/>
      <c r="D36" s="242">
        <f>SUM(D6:D35)</f>
        <v>17109.18</v>
      </c>
      <c r="E36" s="243">
        <f>SUM(E6:E35)</f>
        <v>18781.719999999998</v>
      </c>
      <c r="F36" s="244">
        <f>SUM(F6:F35)</f>
        <v>17835.84</v>
      </c>
    </row>
    <row r="37" spans="2:6" x14ac:dyDescent="0.25">
      <c r="B37" s="1205" t="s">
        <v>5</v>
      </c>
      <c r="C37" s="1273"/>
      <c r="D37" s="234">
        <v>161.77000000000001</v>
      </c>
      <c r="E37" s="235" t="s">
        <v>36</v>
      </c>
      <c r="F37" s="236" t="s">
        <v>36</v>
      </c>
    </row>
    <row r="38" spans="2:6" x14ac:dyDescent="0.25">
      <c r="B38" s="1205" t="s">
        <v>2</v>
      </c>
      <c r="C38" s="1273"/>
      <c r="D38" s="234">
        <f>(D36-D37)*0.15</f>
        <v>2542.1115</v>
      </c>
      <c r="E38" s="235">
        <v>2430.5300000000002</v>
      </c>
      <c r="F38" s="236">
        <v>2415.2199999999998</v>
      </c>
    </row>
    <row r="39" spans="2:6" ht="18" thickBot="1" x14ac:dyDescent="0.3">
      <c r="B39" s="1236" t="s">
        <v>3</v>
      </c>
      <c r="C39" s="1279"/>
      <c r="D39" s="245">
        <f>D36-D37+D38</f>
        <v>19489.521499999999</v>
      </c>
      <c r="E39" s="246">
        <f t="shared" ref="E39:F39" si="0">+E36+E38</f>
        <v>21212.249999999996</v>
      </c>
      <c r="F39" s="247">
        <f t="shared" si="0"/>
        <v>20251.060000000001</v>
      </c>
    </row>
  </sheetData>
  <mergeCells count="5">
    <mergeCell ref="B4:F4"/>
    <mergeCell ref="B36:C36"/>
    <mergeCell ref="B37:C37"/>
    <mergeCell ref="B38:C38"/>
    <mergeCell ref="B39:C39"/>
  </mergeCells>
  <conditionalFormatting sqref="D14:E33 F15:F34 D11:F12 D10:E10 D9:F9">
    <cfRule type="containsBlanks" dxfId="498" priority="6">
      <formula>LEN(TRIM(D9))=0</formula>
    </cfRule>
  </conditionalFormatting>
  <conditionalFormatting sqref="D6:F8">
    <cfRule type="containsBlanks" dxfId="497" priority="8">
      <formula>LEN(TRIM(D6))=0</formula>
    </cfRule>
  </conditionalFormatting>
  <conditionalFormatting sqref="F7 F15:F35 F11:F12">
    <cfRule type="expression" dxfId="496" priority="9">
      <formula>F7=MIN($D6:$F6)</formula>
    </cfRule>
  </conditionalFormatting>
  <conditionalFormatting sqref="D35:F35 D14:E34 D6:F8 D13:F13 F9 D9:E12">
    <cfRule type="expression" dxfId="495" priority="10">
      <formula>D6=MIN($D6:$F6)</formula>
    </cfRule>
  </conditionalFormatting>
  <conditionalFormatting sqref="D13:F13">
    <cfRule type="containsBlanks" dxfId="494" priority="7">
      <formula>LEN(TRIM(D13))=0</formula>
    </cfRule>
  </conditionalFormatting>
  <conditionalFormatting sqref="D34:F35">
    <cfRule type="containsBlanks" dxfId="493" priority="5">
      <formula>LEN(TRIM(D34))=0</formula>
    </cfRule>
  </conditionalFormatting>
  <conditionalFormatting sqref="F16 F20 F24 F28 F32 F12">
    <cfRule type="expression" dxfId="492" priority="11">
      <formula>F12=MIN($D10:$F10)</formula>
    </cfRule>
  </conditionalFormatting>
  <conditionalFormatting sqref="F14">
    <cfRule type="containsBlanks" dxfId="491" priority="3">
      <formula>LEN(TRIM(F14))=0</formula>
    </cfRule>
  </conditionalFormatting>
  <conditionalFormatting sqref="F14">
    <cfRule type="expression" dxfId="490" priority="4">
      <formula>F14=MIN($D14:$F14)</formula>
    </cfRule>
  </conditionalFormatting>
  <conditionalFormatting sqref="F10">
    <cfRule type="containsBlanks" dxfId="489" priority="1">
      <formula>LEN(TRIM(F10))=0</formula>
    </cfRule>
  </conditionalFormatting>
  <conditionalFormatting sqref="F10">
    <cfRule type="expression" dxfId="488" priority="2">
      <formula>F10=MIN($D10:$F10)</formula>
    </cfRule>
  </conditionalFormatting>
  <pageMargins left="0.25" right="0.25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98E7E-8D1A-43E2-8F92-02C34A2D7CA1}">
  <sheetPr codeName="Hoja18"/>
  <dimension ref="B1:M40"/>
  <sheetViews>
    <sheetView showGridLines="0" workbookViewId="0">
      <selection activeCell="D35" sqref="D35"/>
    </sheetView>
  </sheetViews>
  <sheetFormatPr baseColWidth="10" defaultRowHeight="12.75" x14ac:dyDescent="0.25"/>
  <cols>
    <col min="1" max="1" width="2.7109375" style="73" bestFit="1" customWidth="1"/>
    <col min="2" max="2" width="3.5703125" style="73" bestFit="1" customWidth="1"/>
    <col min="3" max="3" width="5.28515625" style="73" bestFit="1" customWidth="1"/>
    <col min="4" max="4" width="24" style="73" bestFit="1" customWidth="1"/>
    <col min="5" max="6" width="11" style="73" bestFit="1" customWidth="1"/>
    <col min="7" max="7" width="9.5703125" style="73" bestFit="1" customWidth="1"/>
    <col min="8" max="12" width="11" style="73" bestFit="1" customWidth="1"/>
    <col min="13" max="13" width="13.42578125" style="74" bestFit="1" customWidth="1"/>
    <col min="14" max="14" width="13.42578125" style="73" bestFit="1" customWidth="1"/>
    <col min="15" max="16384" width="11.42578125" style="73"/>
  </cols>
  <sheetData>
    <row r="1" spans="2:13" x14ac:dyDescent="0.25">
      <c r="B1" s="1287" t="s">
        <v>1</v>
      </c>
      <c r="C1" s="1288"/>
      <c r="D1" s="1288"/>
      <c r="E1" s="1288"/>
      <c r="F1" s="1288"/>
      <c r="G1" s="1288"/>
      <c r="H1" s="1288"/>
      <c r="I1" s="1288"/>
      <c r="J1" s="1288"/>
      <c r="K1" s="1288"/>
      <c r="L1" s="1289"/>
    </row>
    <row r="2" spans="2:13" x14ac:dyDescent="0.25">
      <c r="B2" s="1290" t="s">
        <v>6</v>
      </c>
      <c r="C2" s="250" t="s">
        <v>17</v>
      </c>
      <c r="D2" s="251" t="s">
        <v>177</v>
      </c>
      <c r="E2" s="1291" t="s">
        <v>178</v>
      </c>
      <c r="F2" s="1291"/>
      <c r="G2" s="1291" t="s">
        <v>179</v>
      </c>
      <c r="H2" s="1291"/>
      <c r="I2" s="1291" t="s">
        <v>180</v>
      </c>
      <c r="J2" s="1291"/>
      <c r="K2" s="1291" t="s">
        <v>144</v>
      </c>
      <c r="L2" s="1292"/>
    </row>
    <row r="3" spans="2:13" x14ac:dyDescent="0.25">
      <c r="B3" s="1290"/>
      <c r="C3" s="252" t="s">
        <v>11</v>
      </c>
      <c r="D3" s="253" t="s">
        <v>0</v>
      </c>
      <c r="E3" s="253" t="s">
        <v>14</v>
      </c>
      <c r="F3" s="253" t="s">
        <v>10</v>
      </c>
      <c r="G3" s="253" t="s">
        <v>14</v>
      </c>
      <c r="H3" s="253" t="s">
        <v>10</v>
      </c>
      <c r="I3" s="253" t="s">
        <v>14</v>
      </c>
      <c r="J3" s="253" t="s">
        <v>10</v>
      </c>
      <c r="K3" s="253" t="s">
        <v>14</v>
      </c>
      <c r="L3" s="254" t="s">
        <v>10</v>
      </c>
    </row>
    <row r="4" spans="2:13" s="86" customFormat="1" x14ac:dyDescent="0.25">
      <c r="B4" s="255">
        <v>1</v>
      </c>
      <c r="C4" s="256">
        <v>50</v>
      </c>
      <c r="D4" s="257" t="s">
        <v>203</v>
      </c>
      <c r="E4" s="90">
        <v>116</v>
      </c>
      <c r="F4" s="90">
        <f>+E4*C4</f>
        <v>5800</v>
      </c>
      <c r="G4" s="90">
        <v>140</v>
      </c>
      <c r="H4" s="90">
        <f>+G4*C4</f>
        <v>7000</v>
      </c>
      <c r="I4" s="90">
        <v>100</v>
      </c>
      <c r="J4" s="90">
        <f>+I4*$C4</f>
        <v>5000</v>
      </c>
      <c r="K4" s="90">
        <v>112.99</v>
      </c>
      <c r="L4" s="91">
        <f>+K4*$C4</f>
        <v>5649.5</v>
      </c>
      <c r="M4" s="85"/>
    </row>
    <row r="5" spans="2:13" s="86" customFormat="1" x14ac:dyDescent="0.25">
      <c r="B5" s="255">
        <v>2</v>
      </c>
      <c r="C5" s="256">
        <v>20</v>
      </c>
      <c r="D5" s="258" t="s">
        <v>148</v>
      </c>
      <c r="E5" s="90">
        <v>175.5</v>
      </c>
      <c r="F5" s="90">
        <f t="shared" ref="F5:F8" si="0">+E5*C5</f>
        <v>3510</v>
      </c>
      <c r="G5" s="90">
        <v>170</v>
      </c>
      <c r="H5" s="90">
        <f t="shared" ref="H5:H8" si="1">+G5*C5</f>
        <v>3400</v>
      </c>
      <c r="I5" s="90">
        <v>139.13</v>
      </c>
      <c r="J5" s="90">
        <f t="shared" ref="J5:L34" si="2">+I5*$C5</f>
        <v>2782.6</v>
      </c>
      <c r="K5" s="90">
        <v>144.01</v>
      </c>
      <c r="L5" s="91">
        <f t="shared" si="2"/>
        <v>2880.2</v>
      </c>
      <c r="M5" s="85"/>
    </row>
    <row r="6" spans="2:13" s="86" customFormat="1" x14ac:dyDescent="0.25">
      <c r="B6" s="255">
        <v>3</v>
      </c>
      <c r="C6" s="256">
        <v>84</v>
      </c>
      <c r="D6" s="258" t="s">
        <v>149</v>
      </c>
      <c r="E6" s="90">
        <v>5.25</v>
      </c>
      <c r="F6" s="90">
        <f t="shared" si="0"/>
        <v>441</v>
      </c>
      <c r="G6" s="90">
        <v>4.75</v>
      </c>
      <c r="H6" s="90">
        <f t="shared" si="1"/>
        <v>399</v>
      </c>
      <c r="I6" s="90">
        <f>266/C6</f>
        <v>3.1666666666666665</v>
      </c>
      <c r="J6" s="90">
        <f>+I6*C6</f>
        <v>266</v>
      </c>
      <c r="K6" s="90">
        <f>259/C6</f>
        <v>3.0833333333333335</v>
      </c>
      <c r="L6" s="91">
        <f t="shared" si="2"/>
        <v>259</v>
      </c>
      <c r="M6" s="85"/>
    </row>
    <row r="7" spans="2:13" s="86" customFormat="1" x14ac:dyDescent="0.25">
      <c r="B7" s="255">
        <v>4</v>
      </c>
      <c r="C7" s="256">
        <v>84</v>
      </c>
      <c r="D7" s="258" t="s">
        <v>150</v>
      </c>
      <c r="E7" s="90">
        <v>5.25</v>
      </c>
      <c r="F7" s="90">
        <f t="shared" si="0"/>
        <v>441</v>
      </c>
      <c r="G7" s="90">
        <v>4.75</v>
      </c>
      <c r="H7" s="90">
        <f t="shared" si="1"/>
        <v>399</v>
      </c>
      <c r="I7" s="90">
        <f t="shared" ref="I7" si="3">266/C7</f>
        <v>3.1666666666666665</v>
      </c>
      <c r="J7" s="90">
        <f t="shared" si="2"/>
        <v>266</v>
      </c>
      <c r="K7" s="90">
        <f>259/C7</f>
        <v>3.0833333333333335</v>
      </c>
      <c r="L7" s="91">
        <f t="shared" si="2"/>
        <v>259</v>
      </c>
      <c r="M7" s="85"/>
    </row>
    <row r="8" spans="2:13" s="86" customFormat="1" x14ac:dyDescent="0.25">
      <c r="B8" s="255">
        <v>5</v>
      </c>
      <c r="C8" s="256">
        <v>24</v>
      </c>
      <c r="D8" s="258" t="s">
        <v>151</v>
      </c>
      <c r="E8" s="90">
        <v>5.25</v>
      </c>
      <c r="F8" s="90">
        <f t="shared" si="0"/>
        <v>126</v>
      </c>
      <c r="G8" s="90">
        <v>4</v>
      </c>
      <c r="H8" s="90">
        <f t="shared" si="1"/>
        <v>96</v>
      </c>
      <c r="I8" s="90">
        <f>76/C8</f>
        <v>3.1666666666666665</v>
      </c>
      <c r="J8" s="90">
        <f t="shared" si="2"/>
        <v>76</v>
      </c>
      <c r="K8" s="90">
        <f>74/C8</f>
        <v>3.0833333333333335</v>
      </c>
      <c r="L8" s="91">
        <f t="shared" si="2"/>
        <v>74</v>
      </c>
      <c r="M8" s="85"/>
    </row>
    <row r="9" spans="2:13" s="86" customFormat="1" x14ac:dyDescent="0.25">
      <c r="B9" s="255">
        <v>6</v>
      </c>
      <c r="C9" s="256">
        <v>18</v>
      </c>
      <c r="D9" s="258" t="s">
        <v>152</v>
      </c>
      <c r="E9" s="90">
        <v>18.850000000000001</v>
      </c>
      <c r="F9" s="90">
        <f>+E9*C9</f>
        <v>339.3</v>
      </c>
      <c r="G9" s="90">
        <v>12</v>
      </c>
      <c r="H9" s="90">
        <f>+G9*C9</f>
        <v>216</v>
      </c>
      <c r="I9" s="90">
        <f>180/C9</f>
        <v>10</v>
      </c>
      <c r="J9" s="90">
        <f t="shared" si="2"/>
        <v>180</v>
      </c>
      <c r="K9" s="90">
        <f>174.6/C9</f>
        <v>9.6999999999999993</v>
      </c>
      <c r="L9" s="91">
        <f t="shared" si="2"/>
        <v>174.6</v>
      </c>
      <c r="M9" s="85"/>
    </row>
    <row r="10" spans="2:13" s="86" customFormat="1" x14ac:dyDescent="0.25">
      <c r="B10" s="255">
        <v>7</v>
      </c>
      <c r="C10" s="256">
        <v>18</v>
      </c>
      <c r="D10" s="258" t="s">
        <v>153</v>
      </c>
      <c r="E10" s="90">
        <v>18.850000000000001</v>
      </c>
      <c r="F10" s="90">
        <f t="shared" ref="F10:F13" si="4">+E10*C10</f>
        <v>339.3</v>
      </c>
      <c r="G10" s="90">
        <v>12</v>
      </c>
      <c r="H10" s="90">
        <f t="shared" ref="H10:H12" si="5">+G10*C10</f>
        <v>216</v>
      </c>
      <c r="I10" s="90">
        <f>180/C10</f>
        <v>10</v>
      </c>
      <c r="J10" s="90">
        <f t="shared" si="2"/>
        <v>180</v>
      </c>
      <c r="K10" s="90">
        <f t="shared" ref="K10:K11" si="6">174.6/C10</f>
        <v>9.6999999999999993</v>
      </c>
      <c r="L10" s="91">
        <f t="shared" si="2"/>
        <v>174.6</v>
      </c>
      <c r="M10" s="85"/>
    </row>
    <row r="11" spans="2:13" s="86" customFormat="1" x14ac:dyDescent="0.25">
      <c r="B11" s="255">
        <v>8</v>
      </c>
      <c r="C11" s="256">
        <v>18</v>
      </c>
      <c r="D11" s="258" t="s">
        <v>154</v>
      </c>
      <c r="E11" s="90">
        <v>18.850000000000001</v>
      </c>
      <c r="F11" s="90">
        <f t="shared" si="4"/>
        <v>339.3</v>
      </c>
      <c r="G11" s="90">
        <v>12</v>
      </c>
      <c r="H11" s="90">
        <f t="shared" si="5"/>
        <v>216</v>
      </c>
      <c r="I11" s="90">
        <f>290/C11</f>
        <v>16.111111111111111</v>
      </c>
      <c r="J11" s="90">
        <f t="shared" si="2"/>
        <v>290</v>
      </c>
      <c r="K11" s="90">
        <f t="shared" si="6"/>
        <v>9.6999999999999993</v>
      </c>
      <c r="L11" s="91">
        <f t="shared" si="2"/>
        <v>174.6</v>
      </c>
      <c r="M11" s="85"/>
    </row>
    <row r="12" spans="2:13" s="86" customFormat="1" x14ac:dyDescent="0.25">
      <c r="B12" s="255">
        <v>9</v>
      </c>
      <c r="C12" s="256">
        <v>18</v>
      </c>
      <c r="D12" s="258" t="s">
        <v>155</v>
      </c>
      <c r="E12" s="90">
        <v>10.95</v>
      </c>
      <c r="F12" s="90">
        <f t="shared" si="4"/>
        <v>197.1</v>
      </c>
      <c r="G12" s="90">
        <v>14</v>
      </c>
      <c r="H12" s="90">
        <f t="shared" si="5"/>
        <v>252</v>
      </c>
      <c r="I12" s="90" t="s">
        <v>36</v>
      </c>
      <c r="J12" s="90" t="s">
        <v>36</v>
      </c>
      <c r="K12" s="90">
        <f>167.22/C12</f>
        <v>9.2899999999999991</v>
      </c>
      <c r="L12" s="91">
        <f t="shared" si="2"/>
        <v>167.21999999999997</v>
      </c>
      <c r="M12" s="85"/>
    </row>
    <row r="13" spans="2:13" s="86" customFormat="1" x14ac:dyDescent="0.25">
      <c r="B13" s="255">
        <v>10</v>
      </c>
      <c r="C13" s="256">
        <v>12</v>
      </c>
      <c r="D13" s="258" t="s">
        <v>188</v>
      </c>
      <c r="E13" s="90">
        <v>23.95</v>
      </c>
      <c r="F13" s="90">
        <f t="shared" si="4"/>
        <v>287.39999999999998</v>
      </c>
      <c r="G13" s="90" t="s">
        <v>36</v>
      </c>
      <c r="H13" s="90" t="s">
        <v>36</v>
      </c>
      <c r="I13" s="90" t="s">
        <v>36</v>
      </c>
      <c r="J13" s="90" t="s">
        <v>36</v>
      </c>
      <c r="K13" s="90">
        <v>18.68</v>
      </c>
      <c r="L13" s="91">
        <f t="shared" si="2"/>
        <v>224.16</v>
      </c>
      <c r="M13" s="85"/>
    </row>
    <row r="14" spans="2:13" s="86" customFormat="1" x14ac:dyDescent="0.25">
      <c r="B14" s="255">
        <v>11</v>
      </c>
      <c r="C14" s="256">
        <v>20</v>
      </c>
      <c r="D14" s="258" t="s">
        <v>189</v>
      </c>
      <c r="E14" s="90">
        <v>36.5</v>
      </c>
      <c r="F14" s="90">
        <f>+E14*C14</f>
        <v>730</v>
      </c>
      <c r="G14" s="90">
        <v>27</v>
      </c>
      <c r="H14" s="90">
        <f>+G14*C14</f>
        <v>540</v>
      </c>
      <c r="I14" s="90">
        <v>27.89</v>
      </c>
      <c r="J14" s="90">
        <f t="shared" si="2"/>
        <v>557.79999999999995</v>
      </c>
      <c r="K14" s="90">
        <v>36.35</v>
      </c>
      <c r="L14" s="91">
        <f t="shared" si="2"/>
        <v>727</v>
      </c>
      <c r="M14" s="85"/>
    </row>
    <row r="15" spans="2:13" s="86" customFormat="1" x14ac:dyDescent="0.25">
      <c r="B15" s="255">
        <v>12</v>
      </c>
      <c r="C15" s="256">
        <v>3</v>
      </c>
      <c r="D15" s="258" t="s">
        <v>190</v>
      </c>
      <c r="E15" s="90">
        <v>115</v>
      </c>
      <c r="F15" s="90">
        <f t="shared" ref="F15:F35" si="7">+E15*C15</f>
        <v>345</v>
      </c>
      <c r="G15" s="90">
        <v>130</v>
      </c>
      <c r="H15" s="90">
        <f t="shared" ref="H15:H35" si="8">+G15*C15</f>
        <v>390</v>
      </c>
      <c r="I15" s="90">
        <v>69</v>
      </c>
      <c r="J15" s="90">
        <f t="shared" si="2"/>
        <v>207</v>
      </c>
      <c r="K15" s="90">
        <v>101.91</v>
      </c>
      <c r="L15" s="91">
        <f t="shared" si="2"/>
        <v>305.73</v>
      </c>
      <c r="M15" s="85"/>
    </row>
    <row r="16" spans="2:13" s="86" customFormat="1" x14ac:dyDescent="0.25">
      <c r="B16" s="255">
        <v>13</v>
      </c>
      <c r="C16" s="256">
        <v>30</v>
      </c>
      <c r="D16" s="258" t="s">
        <v>191</v>
      </c>
      <c r="E16" s="90">
        <v>54.52</v>
      </c>
      <c r="F16" s="90">
        <f t="shared" si="7"/>
        <v>1635.6000000000001</v>
      </c>
      <c r="G16" s="90">
        <v>47</v>
      </c>
      <c r="H16" s="90">
        <f t="shared" si="8"/>
        <v>1410</v>
      </c>
      <c r="I16" s="90">
        <v>43</v>
      </c>
      <c r="J16" s="90">
        <f t="shared" si="2"/>
        <v>1290</v>
      </c>
      <c r="K16" s="90">
        <v>44.68</v>
      </c>
      <c r="L16" s="91">
        <f t="shared" si="2"/>
        <v>1340.4</v>
      </c>
      <c r="M16" s="85"/>
    </row>
    <row r="17" spans="2:13" s="86" customFormat="1" x14ac:dyDescent="0.25">
      <c r="B17" s="255">
        <v>14</v>
      </c>
      <c r="C17" s="256">
        <v>10</v>
      </c>
      <c r="D17" s="258" t="s">
        <v>192</v>
      </c>
      <c r="E17" s="90">
        <v>58.5</v>
      </c>
      <c r="F17" s="90">
        <f t="shared" si="7"/>
        <v>585</v>
      </c>
      <c r="G17" s="90">
        <v>58</v>
      </c>
      <c r="H17" s="90">
        <f t="shared" si="8"/>
        <v>580</v>
      </c>
      <c r="I17" s="90">
        <v>17</v>
      </c>
      <c r="J17" s="90">
        <f t="shared" si="2"/>
        <v>170</v>
      </c>
      <c r="K17" s="90">
        <v>26.51</v>
      </c>
      <c r="L17" s="91">
        <f t="shared" si="2"/>
        <v>265.10000000000002</v>
      </c>
      <c r="M17" s="85"/>
    </row>
    <row r="18" spans="2:13" s="86" customFormat="1" x14ac:dyDescent="0.25">
      <c r="B18" s="255">
        <v>15</v>
      </c>
      <c r="C18" s="256">
        <v>4</v>
      </c>
      <c r="D18" s="258" t="s">
        <v>193</v>
      </c>
      <c r="E18" s="90">
        <v>15.5</v>
      </c>
      <c r="F18" s="90">
        <f>+E18*C18</f>
        <v>62</v>
      </c>
      <c r="G18" s="90">
        <v>18</v>
      </c>
      <c r="H18" s="90">
        <f>+G18*C18</f>
        <v>72</v>
      </c>
      <c r="I18" s="90">
        <v>19.5</v>
      </c>
      <c r="J18" s="90">
        <f t="shared" si="2"/>
        <v>78</v>
      </c>
      <c r="K18" s="90">
        <v>18.510000000000002</v>
      </c>
      <c r="L18" s="91">
        <f t="shared" si="2"/>
        <v>74.040000000000006</v>
      </c>
      <c r="M18" s="85"/>
    </row>
    <row r="19" spans="2:13" s="86" customFormat="1" x14ac:dyDescent="0.25">
      <c r="B19" s="255">
        <v>16</v>
      </c>
      <c r="C19" s="256">
        <v>8</v>
      </c>
      <c r="D19" s="259" t="s">
        <v>181</v>
      </c>
      <c r="E19" s="90">
        <v>235</v>
      </c>
      <c r="F19" s="90">
        <f t="shared" ref="F19:F22" si="9">+E19*C19</f>
        <v>1880</v>
      </c>
      <c r="G19" s="90">
        <v>190</v>
      </c>
      <c r="H19" s="300">
        <f t="shared" ref="H19:H22" si="10">+G19*C19</f>
        <v>1520</v>
      </c>
      <c r="I19" s="90">
        <v>225</v>
      </c>
      <c r="J19" s="90">
        <f t="shared" si="2"/>
        <v>1800</v>
      </c>
      <c r="K19" s="90">
        <v>202.67</v>
      </c>
      <c r="L19" s="91">
        <f t="shared" si="2"/>
        <v>1621.36</v>
      </c>
      <c r="M19" s="85"/>
    </row>
    <row r="20" spans="2:13" s="86" customFormat="1" x14ac:dyDescent="0.25">
      <c r="B20" s="255">
        <v>17</v>
      </c>
      <c r="C20" s="256">
        <v>10</v>
      </c>
      <c r="D20" s="258" t="s">
        <v>163</v>
      </c>
      <c r="E20" s="90">
        <v>28.5</v>
      </c>
      <c r="F20" s="90">
        <f t="shared" si="9"/>
        <v>285</v>
      </c>
      <c r="G20" s="90">
        <v>30</v>
      </c>
      <c r="H20" s="90">
        <f t="shared" si="10"/>
        <v>300</v>
      </c>
      <c r="I20" s="90">
        <v>21.5</v>
      </c>
      <c r="J20" s="90">
        <f t="shared" si="2"/>
        <v>215</v>
      </c>
      <c r="K20" s="90">
        <v>21.34</v>
      </c>
      <c r="L20" s="91">
        <f t="shared" si="2"/>
        <v>213.4</v>
      </c>
      <c r="M20" s="85"/>
    </row>
    <row r="21" spans="2:13" s="86" customFormat="1" x14ac:dyDescent="0.25">
      <c r="B21" s="255">
        <v>18</v>
      </c>
      <c r="C21" s="256">
        <v>5</v>
      </c>
      <c r="D21" s="258" t="s">
        <v>194</v>
      </c>
      <c r="E21" s="90">
        <v>3.95</v>
      </c>
      <c r="F21" s="90">
        <f t="shared" si="9"/>
        <v>19.75</v>
      </c>
      <c r="G21" s="90">
        <v>4.4000000000000004</v>
      </c>
      <c r="H21" s="90">
        <f t="shared" si="10"/>
        <v>22</v>
      </c>
      <c r="I21" s="90">
        <v>4.75</v>
      </c>
      <c r="J21" s="90">
        <f t="shared" si="2"/>
        <v>23.75</v>
      </c>
      <c r="K21" s="90">
        <v>3.49</v>
      </c>
      <c r="L21" s="91">
        <f t="shared" si="2"/>
        <v>17.450000000000003</v>
      </c>
      <c r="M21" s="85"/>
    </row>
    <row r="22" spans="2:13" s="86" customFormat="1" x14ac:dyDescent="0.25">
      <c r="B22" s="255">
        <v>19</v>
      </c>
      <c r="C22" s="256">
        <v>4</v>
      </c>
      <c r="D22" s="258" t="s">
        <v>195</v>
      </c>
      <c r="E22" s="90">
        <v>196.65</v>
      </c>
      <c r="F22" s="90">
        <f t="shared" si="9"/>
        <v>786.6</v>
      </c>
      <c r="G22" s="90">
        <v>160</v>
      </c>
      <c r="H22" s="90">
        <f t="shared" si="10"/>
        <v>640</v>
      </c>
      <c r="I22" s="90">
        <v>136</v>
      </c>
      <c r="J22" s="90">
        <f t="shared" si="2"/>
        <v>544</v>
      </c>
      <c r="K22" s="90">
        <v>199.6</v>
      </c>
      <c r="L22" s="91">
        <f t="shared" si="2"/>
        <v>798.4</v>
      </c>
      <c r="M22" s="85"/>
    </row>
    <row r="23" spans="2:13" s="86" customFormat="1" x14ac:dyDescent="0.25">
      <c r="B23" s="255">
        <v>20</v>
      </c>
      <c r="C23" s="256">
        <v>2</v>
      </c>
      <c r="D23" s="258" t="s">
        <v>196</v>
      </c>
      <c r="E23" s="90">
        <v>225.78</v>
      </c>
      <c r="F23" s="90">
        <f>+E23*C23</f>
        <v>451.56</v>
      </c>
      <c r="G23" s="90">
        <v>186</v>
      </c>
      <c r="H23" s="90">
        <f>+G23*C23</f>
        <v>372</v>
      </c>
      <c r="I23" s="90">
        <v>165</v>
      </c>
      <c r="J23" s="90">
        <f t="shared" si="2"/>
        <v>330</v>
      </c>
      <c r="K23" s="90">
        <v>173.27</v>
      </c>
      <c r="L23" s="91">
        <f t="shared" si="2"/>
        <v>346.54</v>
      </c>
      <c r="M23" s="85"/>
    </row>
    <row r="24" spans="2:13" s="86" customFormat="1" x14ac:dyDescent="0.25">
      <c r="B24" s="255">
        <v>21</v>
      </c>
      <c r="C24" s="256">
        <v>12</v>
      </c>
      <c r="D24" s="258" t="s">
        <v>197</v>
      </c>
      <c r="E24" s="90">
        <v>78.25</v>
      </c>
      <c r="F24" s="90">
        <f t="shared" ref="F24:F28" si="11">+E24*C24</f>
        <v>939</v>
      </c>
      <c r="G24" s="90" t="s">
        <v>36</v>
      </c>
      <c r="H24" s="90" t="s">
        <v>36</v>
      </c>
      <c r="I24" s="90">
        <v>39.5</v>
      </c>
      <c r="J24" s="90">
        <f t="shared" si="2"/>
        <v>474</v>
      </c>
      <c r="K24" s="90">
        <v>29.7</v>
      </c>
      <c r="L24" s="91">
        <f t="shared" si="2"/>
        <v>356.4</v>
      </c>
      <c r="M24" s="85"/>
    </row>
    <row r="25" spans="2:13" s="86" customFormat="1" x14ac:dyDescent="0.25">
      <c r="B25" s="255">
        <v>22</v>
      </c>
      <c r="C25" s="256">
        <v>10</v>
      </c>
      <c r="D25" s="258" t="s">
        <v>198</v>
      </c>
      <c r="E25" s="90">
        <v>35.5</v>
      </c>
      <c r="F25" s="90">
        <f t="shared" si="11"/>
        <v>355</v>
      </c>
      <c r="G25" s="90">
        <v>20</v>
      </c>
      <c r="H25" s="90">
        <f t="shared" ref="H25:H27" si="12">+G25*C25</f>
        <v>200</v>
      </c>
      <c r="I25" s="90">
        <v>28.7</v>
      </c>
      <c r="J25" s="90">
        <f t="shared" si="2"/>
        <v>287</v>
      </c>
      <c r="K25" s="90">
        <v>13.67</v>
      </c>
      <c r="L25" s="91">
        <f t="shared" si="2"/>
        <v>136.69999999999999</v>
      </c>
      <c r="M25" s="85"/>
    </row>
    <row r="26" spans="2:13" s="86" customFormat="1" x14ac:dyDescent="0.25">
      <c r="B26" s="255">
        <v>23</v>
      </c>
      <c r="C26" s="256">
        <v>6</v>
      </c>
      <c r="D26" s="258" t="s">
        <v>199</v>
      </c>
      <c r="E26" s="90">
        <v>36.5</v>
      </c>
      <c r="F26" s="90">
        <f t="shared" si="11"/>
        <v>219</v>
      </c>
      <c r="G26" s="90">
        <v>28</v>
      </c>
      <c r="H26" s="90">
        <f t="shared" si="12"/>
        <v>168</v>
      </c>
      <c r="I26" s="90">
        <v>33.04</v>
      </c>
      <c r="J26" s="90">
        <f t="shared" si="2"/>
        <v>198.24</v>
      </c>
      <c r="K26" s="90">
        <v>24.8</v>
      </c>
      <c r="L26" s="91">
        <f t="shared" si="2"/>
        <v>148.80000000000001</v>
      </c>
      <c r="M26" s="85"/>
    </row>
    <row r="27" spans="2:13" s="86" customFormat="1" x14ac:dyDescent="0.25">
      <c r="B27" s="255">
        <v>24</v>
      </c>
      <c r="C27" s="256">
        <v>6</v>
      </c>
      <c r="D27" s="258" t="s">
        <v>200</v>
      </c>
      <c r="E27" s="90">
        <v>15.19</v>
      </c>
      <c r="F27" s="90">
        <f t="shared" si="11"/>
        <v>91.14</v>
      </c>
      <c r="G27" s="90">
        <v>39</v>
      </c>
      <c r="H27" s="90">
        <f t="shared" si="12"/>
        <v>234</v>
      </c>
      <c r="I27" s="90">
        <v>47</v>
      </c>
      <c r="J27" s="90">
        <f t="shared" si="2"/>
        <v>282</v>
      </c>
      <c r="K27" s="90">
        <v>31.97</v>
      </c>
      <c r="L27" s="91">
        <f t="shared" si="2"/>
        <v>191.82</v>
      </c>
      <c r="M27" s="85"/>
    </row>
    <row r="28" spans="2:13" s="86" customFormat="1" x14ac:dyDescent="0.25">
      <c r="B28" s="255">
        <v>25</v>
      </c>
      <c r="C28" s="256">
        <v>6</v>
      </c>
      <c r="D28" s="258" t="s">
        <v>201</v>
      </c>
      <c r="E28" s="90">
        <v>99.5</v>
      </c>
      <c r="F28" s="90">
        <f t="shared" si="11"/>
        <v>597</v>
      </c>
      <c r="G28" s="90" t="s">
        <v>36</v>
      </c>
      <c r="H28" s="90" t="s">
        <v>36</v>
      </c>
      <c r="I28" s="90">
        <v>75</v>
      </c>
      <c r="J28" s="90">
        <f t="shared" si="2"/>
        <v>450</v>
      </c>
      <c r="K28" s="90">
        <v>72.8</v>
      </c>
      <c r="L28" s="91">
        <f t="shared" si="2"/>
        <v>436.79999999999995</v>
      </c>
      <c r="M28" s="85"/>
    </row>
    <row r="29" spans="2:13" s="86" customFormat="1" x14ac:dyDescent="0.25">
      <c r="B29" s="255">
        <v>26</v>
      </c>
      <c r="C29" s="256">
        <v>12</v>
      </c>
      <c r="D29" s="258" t="s">
        <v>202</v>
      </c>
      <c r="E29" s="90">
        <v>2.65</v>
      </c>
      <c r="F29" s="90">
        <f>+E29*C29</f>
        <v>31.799999999999997</v>
      </c>
      <c r="G29" s="90">
        <v>3.7</v>
      </c>
      <c r="H29" s="90">
        <f>+G29*C29</f>
        <v>44.400000000000006</v>
      </c>
      <c r="I29" s="90">
        <f>30/C29</f>
        <v>2.5</v>
      </c>
      <c r="J29" s="90">
        <f t="shared" si="2"/>
        <v>30</v>
      </c>
      <c r="K29" s="90">
        <v>2</v>
      </c>
      <c r="L29" s="91">
        <f t="shared" si="2"/>
        <v>24</v>
      </c>
      <c r="M29" s="85"/>
    </row>
    <row r="30" spans="2:13" s="86" customFormat="1" x14ac:dyDescent="0.25">
      <c r="B30" s="255">
        <v>27</v>
      </c>
      <c r="C30" s="256">
        <v>2</v>
      </c>
      <c r="D30" s="259" t="s">
        <v>182</v>
      </c>
      <c r="E30" s="90">
        <v>1273.75</v>
      </c>
      <c r="F30" s="90">
        <f t="shared" ref="F30:F34" si="13">+E30*C30</f>
        <v>2547.5</v>
      </c>
      <c r="G30" s="90" t="s">
        <v>36</v>
      </c>
      <c r="H30" s="90" t="s">
        <v>36</v>
      </c>
      <c r="I30" s="90">
        <v>1270</v>
      </c>
      <c r="J30" s="90">
        <f t="shared" si="2"/>
        <v>2540</v>
      </c>
      <c r="K30" s="90">
        <v>1241.67</v>
      </c>
      <c r="L30" s="91">
        <f t="shared" si="2"/>
        <v>2483.34</v>
      </c>
      <c r="M30" s="85"/>
    </row>
    <row r="31" spans="2:13" s="86" customFormat="1" x14ac:dyDescent="0.25">
      <c r="B31" s="255">
        <v>28</v>
      </c>
      <c r="C31" s="256">
        <v>8</v>
      </c>
      <c r="D31" s="258" t="s">
        <v>183</v>
      </c>
      <c r="E31" s="90">
        <v>24.25</v>
      </c>
      <c r="F31" s="90">
        <f t="shared" si="13"/>
        <v>194</v>
      </c>
      <c r="G31" s="90">
        <v>33</v>
      </c>
      <c r="H31" s="90">
        <f t="shared" ref="H31:H34" si="14">+G31*C31</f>
        <v>264</v>
      </c>
      <c r="I31" s="90">
        <v>16.5</v>
      </c>
      <c r="J31" s="90">
        <f t="shared" si="2"/>
        <v>132</v>
      </c>
      <c r="K31" s="90">
        <v>21.51</v>
      </c>
      <c r="L31" s="91">
        <f t="shared" si="2"/>
        <v>172.08</v>
      </c>
      <c r="M31" s="85"/>
    </row>
    <row r="32" spans="2:13" s="86" customFormat="1" x14ac:dyDescent="0.25">
      <c r="B32" s="255">
        <v>29</v>
      </c>
      <c r="C32" s="256">
        <v>6</v>
      </c>
      <c r="D32" s="259" t="s">
        <v>184</v>
      </c>
      <c r="E32" s="90">
        <f>375.84/C32</f>
        <v>62.639999999999993</v>
      </c>
      <c r="F32" s="90">
        <f>+E32*C32</f>
        <v>375.84</v>
      </c>
      <c r="G32" s="90" t="s">
        <v>36</v>
      </c>
      <c r="H32" s="90" t="s">
        <v>36</v>
      </c>
      <c r="I32" s="90">
        <v>76</v>
      </c>
      <c r="J32" s="90">
        <f t="shared" si="2"/>
        <v>456</v>
      </c>
      <c r="K32" s="90" t="s">
        <v>36</v>
      </c>
      <c r="L32" s="91" t="s">
        <v>36</v>
      </c>
      <c r="M32" s="85"/>
    </row>
    <row r="33" spans="2:13" s="86" customFormat="1" x14ac:dyDescent="0.25">
      <c r="B33" s="255">
        <v>30</v>
      </c>
      <c r="C33" s="256">
        <v>12</v>
      </c>
      <c r="D33" s="258" t="s">
        <v>185</v>
      </c>
      <c r="E33" s="90">
        <v>12.5</v>
      </c>
      <c r="F33" s="90">
        <f t="shared" si="13"/>
        <v>150</v>
      </c>
      <c r="G33" s="90">
        <v>19</v>
      </c>
      <c r="H33" s="90">
        <f t="shared" si="14"/>
        <v>228</v>
      </c>
      <c r="I33" s="90">
        <f>136/C33</f>
        <v>11.333333333333334</v>
      </c>
      <c r="J33" s="90">
        <f t="shared" si="2"/>
        <v>136</v>
      </c>
      <c r="K33" s="90">
        <v>9.77</v>
      </c>
      <c r="L33" s="91">
        <f t="shared" si="2"/>
        <v>117.24</v>
      </c>
      <c r="M33" s="85"/>
    </row>
    <row r="34" spans="2:13" s="86" customFormat="1" x14ac:dyDescent="0.25">
      <c r="B34" s="255">
        <v>31</v>
      </c>
      <c r="C34" s="256">
        <v>10</v>
      </c>
      <c r="D34" s="259" t="s">
        <v>186</v>
      </c>
      <c r="E34" s="90">
        <v>42.5</v>
      </c>
      <c r="F34" s="90">
        <f t="shared" si="13"/>
        <v>425</v>
      </c>
      <c r="G34" s="90">
        <v>32</v>
      </c>
      <c r="H34" s="90">
        <f t="shared" si="14"/>
        <v>320</v>
      </c>
      <c r="I34" s="90" t="s">
        <v>36</v>
      </c>
      <c r="J34" s="90" t="s">
        <v>36</v>
      </c>
      <c r="K34" s="90">
        <v>35.58</v>
      </c>
      <c r="L34" s="91">
        <f t="shared" si="2"/>
        <v>355.79999999999995</v>
      </c>
      <c r="M34" s="85"/>
    </row>
    <row r="35" spans="2:13" s="86" customFormat="1" ht="13.5" thickBot="1" x14ac:dyDescent="0.3">
      <c r="B35" s="260">
        <v>32</v>
      </c>
      <c r="C35" s="261">
        <v>6</v>
      </c>
      <c r="D35" s="262" t="s">
        <v>187</v>
      </c>
      <c r="E35" s="95">
        <v>29.5</v>
      </c>
      <c r="F35" s="95">
        <f t="shared" si="7"/>
        <v>177</v>
      </c>
      <c r="G35" s="95">
        <v>28</v>
      </c>
      <c r="H35" s="95">
        <f t="shared" si="8"/>
        <v>168</v>
      </c>
      <c r="I35" s="95">
        <v>28.7</v>
      </c>
      <c r="J35" s="95">
        <f>+I35*$C35</f>
        <v>172.2</v>
      </c>
      <c r="K35" s="95">
        <v>32.090000000000003</v>
      </c>
      <c r="L35" s="96">
        <f>+K35*$C35</f>
        <v>192.54000000000002</v>
      </c>
      <c r="M35" s="85"/>
    </row>
    <row r="36" spans="2:13" x14ac:dyDescent="0.25">
      <c r="B36" s="1138" t="s">
        <v>4</v>
      </c>
      <c r="C36" s="1139"/>
      <c r="D36" s="1139"/>
      <c r="E36" s="1140">
        <f>SUM(F4:F35)</f>
        <v>24703.19</v>
      </c>
      <c r="F36" s="1140"/>
      <c r="G36" s="1140">
        <f t="shared" ref="G36" si="15">SUM(H4:H35)</f>
        <v>19666.400000000001</v>
      </c>
      <c r="H36" s="1140"/>
      <c r="I36" s="1293">
        <f>SUM(J4:J35)</f>
        <v>19413.59</v>
      </c>
      <c r="J36" s="1293"/>
      <c r="K36" s="1140">
        <f t="shared" ref="K36" si="16">SUM(L4:L35)</f>
        <v>20361.820000000007</v>
      </c>
      <c r="L36" s="1141"/>
    </row>
    <row r="37" spans="2:13" x14ac:dyDescent="0.25">
      <c r="B37" s="1149" t="s">
        <v>2</v>
      </c>
      <c r="C37" s="1150"/>
      <c r="D37" s="1150"/>
      <c r="E37" s="1151">
        <v>3289.39</v>
      </c>
      <c r="F37" s="1151"/>
      <c r="G37" s="1151">
        <f>(G36)*15%</f>
        <v>2949.96</v>
      </c>
      <c r="H37" s="1151"/>
      <c r="I37" s="1151">
        <v>2698.44</v>
      </c>
      <c r="J37" s="1151"/>
      <c r="K37" s="1151">
        <f>1513.83+1279.46</f>
        <v>2793.29</v>
      </c>
      <c r="L37" s="1154"/>
    </row>
    <row r="38" spans="2:13" ht="13.5" thickBot="1" x14ac:dyDescent="0.3">
      <c r="B38" s="1161" t="s">
        <v>3</v>
      </c>
      <c r="C38" s="1162"/>
      <c r="D38" s="1162"/>
      <c r="E38" s="1155">
        <f>(E36)+E37</f>
        <v>27992.579999999998</v>
      </c>
      <c r="F38" s="1155"/>
      <c r="G38" s="1155">
        <f t="shared" ref="G38" si="17">(G36)+G37</f>
        <v>22616.36</v>
      </c>
      <c r="H38" s="1155"/>
      <c r="I38" s="1155">
        <f t="shared" ref="I38" si="18">(I36)+I37</f>
        <v>22112.03</v>
      </c>
      <c r="J38" s="1155"/>
      <c r="K38" s="1155">
        <f t="shared" ref="K38" si="19">(K36)+K37</f>
        <v>23155.110000000008</v>
      </c>
      <c r="L38" s="1156"/>
    </row>
    <row r="40" spans="2:13" x14ac:dyDescent="0.25">
      <c r="F40" s="99"/>
      <c r="G40" s="99"/>
      <c r="H40" s="99"/>
      <c r="J40" s="99"/>
      <c r="L40" s="99"/>
    </row>
  </sheetData>
  <mergeCells count="21">
    <mergeCell ref="B38:D38"/>
    <mergeCell ref="E38:F38"/>
    <mergeCell ref="G38:H38"/>
    <mergeCell ref="K38:L38"/>
    <mergeCell ref="I2:J2"/>
    <mergeCell ref="I36:J36"/>
    <mergeCell ref="I37:J37"/>
    <mergeCell ref="I38:J38"/>
    <mergeCell ref="B37:D37"/>
    <mergeCell ref="E37:F37"/>
    <mergeCell ref="G37:H37"/>
    <mergeCell ref="K37:L37"/>
    <mergeCell ref="B36:D36"/>
    <mergeCell ref="E36:F36"/>
    <mergeCell ref="G36:H36"/>
    <mergeCell ref="K36:L36"/>
    <mergeCell ref="B1:L1"/>
    <mergeCell ref="B2:B3"/>
    <mergeCell ref="E2:F2"/>
    <mergeCell ref="G2:H2"/>
    <mergeCell ref="K2:L2"/>
  </mergeCells>
  <conditionalFormatting sqref="F4">
    <cfRule type="expression" dxfId="487" priority="65">
      <formula>E4=""</formula>
    </cfRule>
  </conditionalFormatting>
  <conditionalFormatting sqref="F4">
    <cfRule type="expression" dxfId="486" priority="66">
      <formula>E4=MIN($E4,$G4,$I4,$K4)</formula>
    </cfRule>
  </conditionalFormatting>
  <conditionalFormatting sqref="F5:F35">
    <cfRule type="expression" dxfId="485" priority="13">
      <formula>E5=""</formula>
    </cfRule>
  </conditionalFormatting>
  <conditionalFormatting sqref="F5:F35">
    <cfRule type="expression" dxfId="484" priority="14">
      <formula>E5=MIN($E5,$G5,$I5,$K5)</formula>
    </cfRule>
  </conditionalFormatting>
  <conditionalFormatting sqref="H4">
    <cfRule type="expression" dxfId="483" priority="11">
      <formula>G4=""</formula>
    </cfRule>
  </conditionalFormatting>
  <conditionalFormatting sqref="H4">
    <cfRule type="expression" dxfId="482" priority="12">
      <formula>G4=MIN($E4,$G4,$I4,$K4)</formula>
    </cfRule>
  </conditionalFormatting>
  <conditionalFormatting sqref="H5:H35">
    <cfRule type="expression" dxfId="481" priority="9">
      <formula>G5=""</formula>
    </cfRule>
  </conditionalFormatting>
  <conditionalFormatting sqref="H5:H35">
    <cfRule type="expression" dxfId="480" priority="10">
      <formula>G5=MIN($E5,$G5,$I5,$K5)</formula>
    </cfRule>
  </conditionalFormatting>
  <conditionalFormatting sqref="J4">
    <cfRule type="expression" dxfId="479" priority="7">
      <formula>I4=""</formula>
    </cfRule>
  </conditionalFormatting>
  <conditionalFormatting sqref="J4">
    <cfRule type="expression" dxfId="478" priority="8">
      <formula>I4=MIN($E4,$G4,$I4,$K4)</formula>
    </cfRule>
  </conditionalFormatting>
  <conditionalFormatting sqref="J5:J35">
    <cfRule type="expression" dxfId="477" priority="5">
      <formula>I5=""</formula>
    </cfRule>
  </conditionalFormatting>
  <conditionalFormatting sqref="J5:J35">
    <cfRule type="expression" dxfId="476" priority="6">
      <formula>I5=MIN($E5,$G5,$I5,$K5)</formula>
    </cfRule>
  </conditionalFormatting>
  <conditionalFormatting sqref="L4">
    <cfRule type="expression" dxfId="475" priority="3">
      <formula>K4=""</formula>
    </cfRule>
  </conditionalFormatting>
  <conditionalFormatting sqref="L4">
    <cfRule type="expression" dxfId="474" priority="4">
      <formula>K4=MIN($E4,$G4,$I4,$K4)</formula>
    </cfRule>
  </conditionalFormatting>
  <conditionalFormatting sqref="L5:L35">
    <cfRule type="expression" dxfId="473" priority="1">
      <formula>K5=""</formula>
    </cfRule>
  </conditionalFormatting>
  <conditionalFormatting sqref="L5:L35">
    <cfRule type="expression" dxfId="472" priority="2">
      <formula>K5=MIN($E5,$G5,$I5,$K5)</formula>
    </cfRule>
  </conditionalFormatting>
  <pageMargins left="0.25" right="0.25" top="0.75" bottom="0.75" header="0.3" footer="0.3"/>
  <pageSetup paperSize="5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4F58C-3298-4AE1-837A-F6F42806C14D}">
  <sheetPr codeName="Hoja19"/>
  <dimension ref="C2:H11"/>
  <sheetViews>
    <sheetView showGridLines="0" workbookViewId="0">
      <selection activeCell="C3" sqref="C3:G3"/>
    </sheetView>
  </sheetViews>
  <sheetFormatPr baseColWidth="10" defaultRowHeight="17.25" x14ac:dyDescent="0.25"/>
  <cols>
    <col min="1" max="1" width="11.42578125" style="2"/>
    <col min="2" max="2" width="2.7109375" style="2" bestFit="1" customWidth="1"/>
    <col min="3" max="3" width="3.42578125" style="2" bestFit="1" customWidth="1"/>
    <col min="4" max="4" width="6.7109375" style="2" bestFit="1" customWidth="1"/>
    <col min="5" max="5" width="19" style="2" bestFit="1" customWidth="1"/>
    <col min="6" max="6" width="14.140625" style="2" bestFit="1" customWidth="1"/>
    <col min="7" max="7" width="15.42578125" style="2" bestFit="1" customWidth="1"/>
    <col min="8" max="8" width="13.42578125" style="6" bestFit="1" customWidth="1"/>
    <col min="9" max="9" width="13.42578125" style="2" bestFit="1" customWidth="1"/>
    <col min="10" max="16384" width="11.42578125" style="2"/>
  </cols>
  <sheetData>
    <row r="2" spans="3:8" ht="18" thickBot="1" x14ac:dyDescent="0.3"/>
    <row r="3" spans="3:8" ht="18" thickBot="1" x14ac:dyDescent="0.3">
      <c r="C3" s="1248" t="s">
        <v>1</v>
      </c>
      <c r="D3" s="1249"/>
      <c r="E3" s="1249"/>
      <c r="F3" s="1250"/>
      <c r="G3" s="1251"/>
    </row>
    <row r="4" spans="3:8" ht="18" thickBot="1" x14ac:dyDescent="0.3">
      <c r="C4" s="1215" t="s">
        <v>6</v>
      </c>
      <c r="D4" s="29" t="s">
        <v>17</v>
      </c>
      <c r="E4" s="30" t="s">
        <v>204</v>
      </c>
      <c r="F4" s="248" t="s">
        <v>206</v>
      </c>
      <c r="G4" s="248" t="s">
        <v>119</v>
      </c>
    </row>
    <row r="5" spans="3:8" ht="18" thickBot="1" x14ac:dyDescent="0.3">
      <c r="C5" s="1216"/>
      <c r="D5" s="33" t="s">
        <v>11</v>
      </c>
      <c r="E5" s="21" t="s">
        <v>0</v>
      </c>
      <c r="F5" s="249" t="s">
        <v>10</v>
      </c>
      <c r="G5" s="32" t="s">
        <v>10</v>
      </c>
    </row>
    <row r="6" spans="3:8" s="157" customFormat="1" ht="35.25" thickBot="1" x14ac:dyDescent="0.3">
      <c r="C6" s="266">
        <v>1</v>
      </c>
      <c r="D6" s="179">
        <v>1</v>
      </c>
      <c r="E6" s="208" t="s">
        <v>205</v>
      </c>
      <c r="F6" s="264">
        <v>2601.96</v>
      </c>
      <c r="G6" s="265">
        <v>9696.15</v>
      </c>
      <c r="H6" s="163"/>
    </row>
    <row r="7" spans="3:8" x14ac:dyDescent="0.25">
      <c r="C7" s="1217" t="s">
        <v>4</v>
      </c>
      <c r="D7" s="1218"/>
      <c r="E7" s="1218"/>
      <c r="F7" s="268">
        <f>+F6</f>
        <v>2601.96</v>
      </c>
      <c r="G7" s="136">
        <f>+G6</f>
        <v>9696.15</v>
      </c>
    </row>
    <row r="8" spans="3:8" x14ac:dyDescent="0.25">
      <c r="C8" s="1205" t="s">
        <v>2</v>
      </c>
      <c r="D8" s="1206"/>
      <c r="E8" s="1206"/>
      <c r="F8" s="267">
        <v>390.29</v>
      </c>
      <c r="G8" s="137">
        <v>1454.42</v>
      </c>
    </row>
    <row r="9" spans="3:8" ht="18" thickBot="1" x14ac:dyDescent="0.3">
      <c r="C9" s="1236" t="s">
        <v>3</v>
      </c>
      <c r="D9" s="1237"/>
      <c r="E9" s="1237"/>
      <c r="F9" s="269">
        <f>+F7+F8</f>
        <v>2992.25</v>
      </c>
      <c r="G9" s="270">
        <f>+G7+G8</f>
        <v>11150.57</v>
      </c>
    </row>
    <row r="11" spans="3:8" x14ac:dyDescent="0.25">
      <c r="F11" s="164"/>
      <c r="G11" s="164"/>
    </row>
  </sheetData>
  <mergeCells count="5">
    <mergeCell ref="C9:E9"/>
    <mergeCell ref="C8:E8"/>
    <mergeCell ref="C3:G3"/>
    <mergeCell ref="C4:C5"/>
    <mergeCell ref="C7:E7"/>
  </mergeCells>
  <conditionalFormatting sqref="F6:G6">
    <cfRule type="expression" dxfId="471" priority="75">
      <formula>#REF!=""</formula>
    </cfRule>
    <cfRule type="expression" dxfId="470" priority="76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06919-F1A1-4B5C-836B-ECF56C0B82A4}">
  <sheetPr codeName="Hoja2"/>
  <dimension ref="A2:H12"/>
  <sheetViews>
    <sheetView showGridLines="0" workbookViewId="0">
      <selection activeCell="D6" sqref="D6"/>
    </sheetView>
  </sheetViews>
  <sheetFormatPr baseColWidth="10" defaultRowHeight="15.75" x14ac:dyDescent="0.25"/>
  <cols>
    <col min="1" max="1" width="2.140625" style="34" bestFit="1" customWidth="1"/>
    <col min="2" max="2" width="6.28515625" style="34" bestFit="1" customWidth="1"/>
    <col min="3" max="3" width="22" style="34" bestFit="1" customWidth="1"/>
    <col min="4" max="7" width="12.85546875" style="34" bestFit="1" customWidth="1"/>
    <col min="8" max="8" width="13.42578125" style="35" bestFit="1" customWidth="1"/>
    <col min="9" max="16384" width="11.42578125" style="34"/>
  </cols>
  <sheetData>
    <row r="2" spans="1:7" ht="16.5" thickBot="1" x14ac:dyDescent="0.3"/>
    <row r="3" spans="1:7" ht="16.5" thickBot="1" x14ac:dyDescent="0.3">
      <c r="A3" s="1100" t="s">
        <v>1</v>
      </c>
      <c r="B3" s="1101"/>
      <c r="C3" s="1101"/>
      <c r="D3" s="1101"/>
      <c r="E3" s="1101"/>
      <c r="F3" s="1101"/>
      <c r="G3" s="1102"/>
    </row>
    <row r="4" spans="1:7" x14ac:dyDescent="0.25">
      <c r="A4" s="1103" t="s">
        <v>6</v>
      </c>
      <c r="B4" s="43" t="s">
        <v>17</v>
      </c>
      <c r="C4" s="44" t="s">
        <v>25</v>
      </c>
      <c r="D4" s="1105" t="s">
        <v>27</v>
      </c>
      <c r="E4" s="1105" t="s">
        <v>28</v>
      </c>
      <c r="F4" s="1105" t="s">
        <v>29</v>
      </c>
      <c r="G4" s="1107" t="s">
        <v>31</v>
      </c>
    </row>
    <row r="5" spans="1:7" ht="16.5" thickBot="1" x14ac:dyDescent="0.3">
      <c r="A5" s="1104"/>
      <c r="B5" s="45" t="s">
        <v>11</v>
      </c>
      <c r="C5" s="45" t="s">
        <v>0</v>
      </c>
      <c r="D5" s="1106"/>
      <c r="E5" s="1106"/>
      <c r="F5" s="1106"/>
      <c r="G5" s="1108"/>
    </row>
    <row r="6" spans="1:7" ht="16.5" thickBot="1" x14ac:dyDescent="0.3">
      <c r="A6" s="46">
        <v>1</v>
      </c>
      <c r="B6" s="47">
        <v>1</v>
      </c>
      <c r="C6" s="48" t="s">
        <v>26</v>
      </c>
      <c r="D6" s="49">
        <v>2125.39</v>
      </c>
      <c r="E6" s="49">
        <v>3200</v>
      </c>
      <c r="F6" s="49" t="s">
        <v>30</v>
      </c>
      <c r="G6" s="50" t="s">
        <v>30</v>
      </c>
    </row>
    <row r="7" spans="1:7" x14ac:dyDescent="0.25">
      <c r="A7" s="1094" t="s">
        <v>4</v>
      </c>
      <c r="B7" s="1095"/>
      <c r="C7" s="1095"/>
      <c r="D7" s="36">
        <f>SUM(D6:D6)</f>
        <v>2125.39</v>
      </c>
      <c r="E7" s="36">
        <f>SUM(E6:E6)</f>
        <v>3200</v>
      </c>
      <c r="F7" s="36">
        <f>SUM(F6:F6)</f>
        <v>0</v>
      </c>
      <c r="G7" s="37">
        <f>SUM(G6:G6)</f>
        <v>0</v>
      </c>
    </row>
    <row r="8" spans="1:7" x14ac:dyDescent="0.25">
      <c r="A8" s="1096" t="s">
        <v>5</v>
      </c>
      <c r="B8" s="1097"/>
      <c r="C8" s="1097"/>
      <c r="D8" s="38">
        <v>0</v>
      </c>
      <c r="E8" s="38">
        <v>0</v>
      </c>
      <c r="F8" s="38">
        <v>0</v>
      </c>
      <c r="G8" s="39">
        <v>0</v>
      </c>
    </row>
    <row r="9" spans="1:7" x14ac:dyDescent="0.25">
      <c r="A9" s="1096" t="s">
        <v>2</v>
      </c>
      <c r="B9" s="1097"/>
      <c r="C9" s="1097"/>
      <c r="D9" s="38">
        <f>(D7-D8)*15%</f>
        <v>318.80849999999998</v>
      </c>
      <c r="E9" s="38">
        <f>(E7-E8)*15%</f>
        <v>480</v>
      </c>
      <c r="F9" s="38">
        <f>(F7-F8)*15%</f>
        <v>0</v>
      </c>
      <c r="G9" s="39">
        <f>(G7-G8)*15%</f>
        <v>0</v>
      </c>
    </row>
    <row r="10" spans="1:7" ht="16.5" thickBot="1" x14ac:dyDescent="0.3">
      <c r="A10" s="1098" t="s">
        <v>3</v>
      </c>
      <c r="B10" s="1099"/>
      <c r="C10" s="1099"/>
      <c r="D10" s="41">
        <f>(D7-D8)+D9</f>
        <v>2444.1985</v>
      </c>
      <c r="E10" s="41">
        <f>(E7-E8)+E9</f>
        <v>3680</v>
      </c>
      <c r="F10" s="51">
        <f>(F7-F8)+F9</f>
        <v>0</v>
      </c>
      <c r="G10" s="52">
        <f>(G7-G8)+G9</f>
        <v>0</v>
      </c>
    </row>
    <row r="12" spans="1:7" x14ac:dyDescent="0.25">
      <c r="D12" s="40"/>
      <c r="E12" s="40"/>
      <c r="F12" s="40"/>
      <c r="G12" s="40"/>
    </row>
  </sheetData>
  <mergeCells count="10">
    <mergeCell ref="A7:C7"/>
    <mergeCell ref="A8:C8"/>
    <mergeCell ref="A9:C9"/>
    <mergeCell ref="A10:C10"/>
    <mergeCell ref="A3:G3"/>
    <mergeCell ref="A4:A5"/>
    <mergeCell ref="D4:D5"/>
    <mergeCell ref="E4:E5"/>
    <mergeCell ref="F4:F5"/>
    <mergeCell ref="G4:G5"/>
  </mergeCells>
  <conditionalFormatting sqref="D6:E6 D10:E10 G6">
    <cfRule type="containsBlanks" dxfId="542" priority="9">
      <formula>LEN(TRIM(D6))=0</formula>
    </cfRule>
    <cfRule type="expression" dxfId="541" priority="10">
      <formula>D6=MIN($D6:$G6)</formula>
    </cfRule>
  </conditionalFormatting>
  <pageMargins left="0.25" right="0.25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B1FEF-F66D-45C7-B03E-86FAB086A2A3}">
  <sheetPr codeName="Hoja20"/>
  <dimension ref="B2:L13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7.42578125" style="108" bestFit="1" customWidth="1"/>
    <col min="5" max="5" width="11.140625" style="108" bestFit="1" customWidth="1"/>
    <col min="6" max="6" width="12.85546875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0" width="12.85546875" style="108" bestFit="1" customWidth="1"/>
    <col min="11" max="11" width="13.42578125" style="109" bestFit="1" customWidth="1"/>
    <col min="12" max="12" width="13.42578125" style="108" bestFit="1" customWidth="1"/>
    <col min="13" max="16384" width="11.42578125" style="108"/>
  </cols>
  <sheetData>
    <row r="2" spans="2:12" ht="16.5" thickBot="1" x14ac:dyDescent="0.3"/>
    <row r="3" spans="2:12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1"/>
      <c r="K3" s="35"/>
    </row>
    <row r="4" spans="2:12" s="34" customFormat="1" ht="16.5" thickBot="1" x14ac:dyDescent="0.3">
      <c r="B4" s="1182" t="s">
        <v>6</v>
      </c>
      <c r="C4" s="110" t="s">
        <v>17</v>
      </c>
      <c r="D4" s="111" t="s">
        <v>207</v>
      </c>
      <c r="E4" s="1184" t="s">
        <v>53</v>
      </c>
      <c r="F4" s="1102"/>
      <c r="G4" s="1100" t="s">
        <v>55</v>
      </c>
      <c r="H4" s="1102"/>
      <c r="I4" s="1100" t="s">
        <v>105</v>
      </c>
      <c r="J4" s="1102"/>
      <c r="K4" s="35"/>
    </row>
    <row r="5" spans="2:12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263" t="s">
        <v>10</v>
      </c>
      <c r="G5" s="114" t="s">
        <v>14</v>
      </c>
      <c r="H5" s="263" t="s">
        <v>10</v>
      </c>
      <c r="I5" s="114" t="s">
        <v>14</v>
      </c>
      <c r="J5" s="116" t="s">
        <v>10</v>
      </c>
      <c r="K5" s="35"/>
    </row>
    <row r="6" spans="2:12" s="124" customFormat="1" ht="16.5" thickBot="1" x14ac:dyDescent="0.3">
      <c r="B6" s="117">
        <v>1</v>
      </c>
      <c r="C6" s="118">
        <v>8</v>
      </c>
      <c r="D6" s="119" t="s">
        <v>104</v>
      </c>
      <c r="E6" s="187">
        <v>171.215</v>
      </c>
      <c r="F6" s="188">
        <f>+E6*C6</f>
        <v>1369.72</v>
      </c>
      <c r="G6" s="187">
        <v>229.8</v>
      </c>
      <c r="H6" s="188">
        <f>+G6*C6</f>
        <v>1838.4</v>
      </c>
      <c r="I6" s="187">
        <v>218.61</v>
      </c>
      <c r="J6" s="189">
        <f>+I6*C6</f>
        <v>1748.88</v>
      </c>
      <c r="K6" s="123"/>
      <c r="L6" s="271"/>
    </row>
    <row r="7" spans="2:12" x14ac:dyDescent="0.25">
      <c r="B7" s="1094" t="s">
        <v>4</v>
      </c>
      <c r="C7" s="1095"/>
      <c r="D7" s="1185"/>
      <c r="E7" s="1257">
        <f>SUM(F6:F6)</f>
        <v>1369.72</v>
      </c>
      <c r="F7" s="1258"/>
      <c r="G7" s="1257">
        <f>SUM(H6:H6)</f>
        <v>1838.4</v>
      </c>
      <c r="H7" s="1258"/>
      <c r="I7" s="1257">
        <f>SUM(J6:J6)</f>
        <v>1748.88</v>
      </c>
      <c r="J7" s="1259"/>
      <c r="L7" s="129"/>
    </row>
    <row r="8" spans="2:12" x14ac:dyDescent="0.25">
      <c r="B8" s="1096" t="s">
        <v>5</v>
      </c>
      <c r="C8" s="1097"/>
      <c r="D8" s="1195"/>
      <c r="E8" s="1260">
        <f>+F6*0.35</f>
        <v>479.40199999999999</v>
      </c>
      <c r="F8" s="1261"/>
      <c r="G8" s="1260">
        <f>+G7*34%</f>
        <v>625.05600000000004</v>
      </c>
      <c r="H8" s="1261"/>
      <c r="I8" s="1260">
        <f>+I7*0.35</f>
        <v>612.10799999999995</v>
      </c>
      <c r="J8" s="1262"/>
    </row>
    <row r="9" spans="2:12" x14ac:dyDescent="0.25">
      <c r="B9" s="1199" t="s">
        <v>2</v>
      </c>
      <c r="C9" s="1200"/>
      <c r="D9" s="1201"/>
      <c r="E9" s="1260">
        <f>(E7-E8)*15%</f>
        <v>133.54769999999999</v>
      </c>
      <c r="F9" s="1261"/>
      <c r="G9" s="1260">
        <f>(G7-G8)*15%</f>
        <v>182.0016</v>
      </c>
      <c r="H9" s="1261"/>
      <c r="I9" s="1260">
        <f>(I7-I8)*15%</f>
        <v>170.51580000000001</v>
      </c>
      <c r="J9" s="1262"/>
    </row>
    <row r="10" spans="2:12" ht="16.5" thickBot="1" x14ac:dyDescent="0.3">
      <c r="B10" s="1189" t="s">
        <v>3</v>
      </c>
      <c r="C10" s="1190"/>
      <c r="D10" s="1191"/>
      <c r="E10" s="1263">
        <f>(E7-E8)+E9</f>
        <v>1023.8656999999999</v>
      </c>
      <c r="F10" s="1264"/>
      <c r="G10" s="1265">
        <f>(G7-G8)+G9</f>
        <v>1395.3456000000001</v>
      </c>
      <c r="H10" s="1266"/>
      <c r="I10" s="1265">
        <f>(I7-I8)+I9</f>
        <v>1307.2878000000001</v>
      </c>
      <c r="J10" s="1267"/>
    </row>
    <row r="11" spans="2:12" ht="16.5" thickBot="1" x14ac:dyDescent="0.3">
      <c r="B11" s="1189" t="s">
        <v>106</v>
      </c>
      <c r="C11" s="1190"/>
      <c r="D11" s="1191"/>
      <c r="E11" s="1268">
        <f>+E10*35.92</f>
        <v>36777.255943999997</v>
      </c>
      <c r="F11" s="1269"/>
      <c r="G11" s="1192">
        <f>+G10*35.85</f>
        <v>50023.139760000005</v>
      </c>
      <c r="H11" s="1193"/>
      <c r="I11" s="1192">
        <f>+I10*35.85</f>
        <v>46866.267630000002</v>
      </c>
      <c r="J11" s="1194"/>
    </row>
    <row r="13" spans="2:12" x14ac:dyDescent="0.25">
      <c r="F13" s="129"/>
      <c r="G13" s="129"/>
      <c r="H13" s="129"/>
      <c r="J13" s="129"/>
    </row>
  </sheetData>
  <mergeCells count="25">
    <mergeCell ref="B7:D7"/>
    <mergeCell ref="E7:F7"/>
    <mergeCell ref="G7:H7"/>
    <mergeCell ref="I7:J7"/>
    <mergeCell ref="B3:J3"/>
    <mergeCell ref="B4:B5"/>
    <mergeCell ref="E4:F4"/>
    <mergeCell ref="G4:H4"/>
    <mergeCell ref="I4:J4"/>
    <mergeCell ref="B8:D8"/>
    <mergeCell ref="E8:F8"/>
    <mergeCell ref="G8:H8"/>
    <mergeCell ref="I8:J8"/>
    <mergeCell ref="B9:D9"/>
    <mergeCell ref="E9:F9"/>
    <mergeCell ref="G9:H9"/>
    <mergeCell ref="I9:J9"/>
    <mergeCell ref="B10:D10"/>
    <mergeCell ref="E10:F10"/>
    <mergeCell ref="G10:H10"/>
    <mergeCell ref="I10:J10"/>
    <mergeCell ref="B11:D11"/>
    <mergeCell ref="E11:F11"/>
    <mergeCell ref="G11:H11"/>
    <mergeCell ref="I11:J11"/>
  </mergeCells>
  <conditionalFormatting sqref="H6 J6">
    <cfRule type="expression" dxfId="469" priority="1">
      <formula>G6=""</formula>
    </cfRule>
    <cfRule type="expression" dxfId="468" priority="2">
      <formula>G6=MIN($E6,$G6,$I6)</formula>
    </cfRule>
  </conditionalFormatting>
  <pageMargins left="0.25" right="0.25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A7D8-2359-4D1D-86CE-163C993F504A}">
  <sheetPr codeName="Hoja21"/>
  <dimension ref="A2:N15"/>
  <sheetViews>
    <sheetView showGridLines="0" workbookViewId="0">
      <selection activeCell="C6" sqref="C6"/>
    </sheetView>
  </sheetViews>
  <sheetFormatPr baseColWidth="10" defaultRowHeight="14.25" x14ac:dyDescent="0.25"/>
  <cols>
    <col min="1" max="1" width="2.5703125" style="272" bestFit="1" customWidth="1"/>
    <col min="2" max="2" width="5.42578125" style="272" bestFit="1" customWidth="1"/>
    <col min="3" max="3" width="16.140625" style="272" bestFit="1" customWidth="1"/>
    <col min="4" max="4" width="9.7109375" style="272" bestFit="1" customWidth="1"/>
    <col min="5" max="5" width="11.28515625" style="272" bestFit="1" customWidth="1"/>
    <col min="6" max="6" width="9.7109375" style="272" bestFit="1" customWidth="1"/>
    <col min="7" max="7" width="12.28515625" style="272" bestFit="1" customWidth="1"/>
    <col min="8" max="8" width="9.7109375" style="272" bestFit="1" customWidth="1"/>
    <col min="9" max="9" width="11.28515625" style="272" bestFit="1" customWidth="1"/>
    <col min="10" max="10" width="9.7109375" style="272" bestFit="1" customWidth="1"/>
    <col min="11" max="11" width="11.28515625" style="272" bestFit="1" customWidth="1"/>
    <col min="12" max="12" width="9.7109375" style="272" bestFit="1" customWidth="1"/>
    <col min="13" max="13" width="12.28515625" style="272" bestFit="1" customWidth="1"/>
    <col min="14" max="14" width="13.42578125" style="273" bestFit="1" customWidth="1"/>
    <col min="15" max="15" width="13.42578125" style="272" bestFit="1" customWidth="1"/>
    <col min="16" max="16384" width="11.42578125" style="272"/>
  </cols>
  <sheetData>
    <row r="2" spans="1:14" ht="15" thickBot="1" x14ac:dyDescent="0.3"/>
    <row r="3" spans="1:14" ht="15" thickBot="1" x14ac:dyDescent="0.3">
      <c r="A3" s="1296" t="s">
        <v>1</v>
      </c>
      <c r="B3" s="1313"/>
      <c r="C3" s="1313"/>
      <c r="D3" s="1314"/>
      <c r="E3" s="1314"/>
      <c r="F3" s="1314"/>
      <c r="G3" s="1314"/>
      <c r="H3" s="1314"/>
      <c r="I3" s="1314"/>
      <c r="J3" s="1314"/>
      <c r="K3" s="1314"/>
      <c r="L3" s="1314"/>
      <c r="M3" s="1297"/>
    </row>
    <row r="4" spans="1:14" ht="15" thickBot="1" x14ac:dyDescent="0.3">
      <c r="A4" s="1315" t="s">
        <v>6</v>
      </c>
      <c r="B4" s="274" t="s">
        <v>17</v>
      </c>
      <c r="C4" s="275" t="s">
        <v>208</v>
      </c>
      <c r="D4" s="1317" t="s">
        <v>18</v>
      </c>
      <c r="E4" s="1297"/>
      <c r="F4" s="1296" t="s">
        <v>22</v>
      </c>
      <c r="G4" s="1297"/>
      <c r="H4" s="1308" t="s">
        <v>21</v>
      </c>
      <c r="I4" s="1309"/>
      <c r="J4" s="1296" t="s">
        <v>211</v>
      </c>
      <c r="K4" s="1297"/>
      <c r="L4" s="1296" t="s">
        <v>19</v>
      </c>
      <c r="M4" s="1297"/>
    </row>
    <row r="5" spans="1:14" ht="15" thickBot="1" x14ac:dyDescent="0.3">
      <c r="A5" s="1316"/>
      <c r="B5" s="276" t="s">
        <v>11</v>
      </c>
      <c r="C5" s="277" t="s">
        <v>0</v>
      </c>
      <c r="D5" s="278" t="s">
        <v>14</v>
      </c>
      <c r="E5" s="279" t="s">
        <v>10</v>
      </c>
      <c r="F5" s="278" t="s">
        <v>14</v>
      </c>
      <c r="G5" s="279" t="s">
        <v>10</v>
      </c>
      <c r="H5" s="278" t="s">
        <v>14</v>
      </c>
      <c r="I5" s="279" t="s">
        <v>10</v>
      </c>
      <c r="J5" s="278" t="s">
        <v>14</v>
      </c>
      <c r="K5" s="279" t="s">
        <v>10</v>
      </c>
      <c r="L5" s="278" t="s">
        <v>14</v>
      </c>
      <c r="M5" s="280" t="s">
        <v>10</v>
      </c>
    </row>
    <row r="6" spans="1:14" s="289" customFormat="1" x14ac:dyDescent="0.25">
      <c r="A6" s="281">
        <v>1</v>
      </c>
      <c r="B6" s="282">
        <v>20</v>
      </c>
      <c r="C6" s="283" t="s">
        <v>209</v>
      </c>
      <c r="D6" s="284" t="s">
        <v>36</v>
      </c>
      <c r="E6" s="285" t="s">
        <v>36</v>
      </c>
      <c r="F6" s="286" t="s">
        <v>215</v>
      </c>
      <c r="G6" s="285">
        <f>SUM(G7:G8)</f>
        <v>11634.85</v>
      </c>
      <c r="H6" s="284" t="s">
        <v>36</v>
      </c>
      <c r="I6" s="285" t="s">
        <v>36</v>
      </c>
      <c r="J6" s="286" t="s">
        <v>215</v>
      </c>
      <c r="K6" s="285">
        <f>SUM(K7:K8)</f>
        <v>6960.4860000000008</v>
      </c>
      <c r="L6" s="284">
        <f>19.25*TC!C3</f>
        <v>687.12490000000003</v>
      </c>
      <c r="M6" s="287">
        <f>+L6*B6</f>
        <v>13742.498</v>
      </c>
      <c r="N6" s="288"/>
    </row>
    <row r="7" spans="1:14" s="289" customFormat="1" x14ac:dyDescent="0.25">
      <c r="A7" s="281"/>
      <c r="B7" s="282">
        <v>5</v>
      </c>
      <c r="C7" s="283" t="s">
        <v>213</v>
      </c>
      <c r="D7" s="284" t="s">
        <v>36</v>
      </c>
      <c r="E7" s="285" t="s">
        <v>36</v>
      </c>
      <c r="F7" s="290">
        <v>500.87</v>
      </c>
      <c r="G7" s="285">
        <f>+F7*5</f>
        <v>2504.35</v>
      </c>
      <c r="H7" s="284" t="s">
        <v>36</v>
      </c>
      <c r="I7" s="285" t="s">
        <v>36</v>
      </c>
      <c r="J7" s="284">
        <f>15*TC!$C$3</f>
        <v>535.42200000000003</v>
      </c>
      <c r="K7" s="285">
        <f>+J7*5</f>
        <v>2677.11</v>
      </c>
      <c r="L7" s="284" t="s">
        <v>36</v>
      </c>
      <c r="M7" s="287" t="s">
        <v>36</v>
      </c>
      <c r="N7" s="288"/>
    </row>
    <row r="8" spans="1:14" s="289" customFormat="1" x14ac:dyDescent="0.25">
      <c r="A8" s="281"/>
      <c r="B8" s="282">
        <v>15</v>
      </c>
      <c r="C8" s="283" t="s">
        <v>214</v>
      </c>
      <c r="D8" s="284" t="s">
        <v>36</v>
      </c>
      <c r="E8" s="285" t="s">
        <v>36</v>
      </c>
      <c r="F8" s="284">
        <v>608.70000000000005</v>
      </c>
      <c r="G8" s="285">
        <f>+F8*15</f>
        <v>9130.5</v>
      </c>
      <c r="H8" s="284" t="s">
        <v>36</v>
      </c>
      <c r="I8" s="285" t="s">
        <v>36</v>
      </c>
      <c r="J8" s="290">
        <f>15*TC!$C$3</f>
        <v>535.42200000000003</v>
      </c>
      <c r="K8" s="285">
        <f>+J8*8</f>
        <v>4283.3760000000002</v>
      </c>
      <c r="L8" s="284" t="s">
        <v>36</v>
      </c>
      <c r="M8" s="287" t="s">
        <v>36</v>
      </c>
      <c r="N8" s="288"/>
    </row>
    <row r="9" spans="1:14" s="289" customFormat="1" ht="15" thickBot="1" x14ac:dyDescent="0.3">
      <c r="A9" s="291">
        <v>2</v>
      </c>
      <c r="B9" s="292">
        <v>20</v>
      </c>
      <c r="C9" s="293" t="s">
        <v>210</v>
      </c>
      <c r="D9" s="294">
        <f>11.36*TC!C3</f>
        <v>405.49292800000001</v>
      </c>
      <c r="E9" s="295">
        <f t="shared" ref="E9" si="0">+D9*$B9</f>
        <v>8109.8585600000006</v>
      </c>
      <c r="F9" s="294" t="s">
        <v>36</v>
      </c>
      <c r="G9" s="285" t="s">
        <v>36</v>
      </c>
      <c r="H9" s="294">
        <v>293.44</v>
      </c>
      <c r="I9" s="285">
        <f t="shared" ref="I9" si="1">+H9*$B9</f>
        <v>5868.8</v>
      </c>
      <c r="J9" s="294">
        <f>13.5*TC!C3</f>
        <v>481.87979999999999</v>
      </c>
      <c r="K9" s="285">
        <f>+J9*$B9</f>
        <v>9637.5959999999995</v>
      </c>
      <c r="L9" s="294">
        <f>11.3*TC!C3</f>
        <v>403.35124000000002</v>
      </c>
      <c r="M9" s="287">
        <f>+L9*$B9</f>
        <v>8067.0248000000001</v>
      </c>
      <c r="N9" s="288"/>
    </row>
    <row r="10" spans="1:14" x14ac:dyDescent="0.25">
      <c r="A10" s="1318" t="s">
        <v>4</v>
      </c>
      <c r="B10" s="1319"/>
      <c r="C10" s="1320"/>
      <c r="D10" s="1298">
        <f>SUM(E6:E9)</f>
        <v>8109.8585600000006</v>
      </c>
      <c r="E10" s="1307"/>
      <c r="F10" s="1298">
        <f>SUM(G7:G9)</f>
        <v>11634.85</v>
      </c>
      <c r="G10" s="1307"/>
      <c r="H10" s="1298">
        <f>SUM(I6:I9)</f>
        <v>5868.8</v>
      </c>
      <c r="I10" s="1307"/>
      <c r="J10" s="1298">
        <f>SUM(K7:K9)</f>
        <v>16598.082000000002</v>
      </c>
      <c r="K10" s="1307"/>
      <c r="L10" s="1298">
        <f>SUM(M6:M9)</f>
        <v>21809.522799999999</v>
      </c>
      <c r="M10" s="1299"/>
    </row>
    <row r="11" spans="1:14" x14ac:dyDescent="0.25">
      <c r="A11" s="1310" t="s">
        <v>5</v>
      </c>
      <c r="B11" s="1311"/>
      <c r="C11" s="1312"/>
      <c r="D11" s="1300">
        <v>0</v>
      </c>
      <c r="E11" s="1303"/>
      <c r="F11" s="1300">
        <v>0</v>
      </c>
      <c r="G11" s="1303"/>
      <c r="H11" s="1300">
        <v>0</v>
      </c>
      <c r="I11" s="1303"/>
      <c r="J11" s="1300">
        <v>0</v>
      </c>
      <c r="K11" s="1303"/>
      <c r="L11" s="1300">
        <v>0</v>
      </c>
      <c r="M11" s="1301"/>
    </row>
    <row r="12" spans="1:14" x14ac:dyDescent="0.25">
      <c r="A12" s="1310" t="s">
        <v>2</v>
      </c>
      <c r="B12" s="1311"/>
      <c r="C12" s="1312"/>
      <c r="D12" s="1300">
        <f>(D10-D11)*15%</f>
        <v>1216.4787840000001</v>
      </c>
      <c r="E12" s="1303"/>
      <c r="F12" s="1300">
        <f>(F10-F11)*15%</f>
        <v>1745.2275</v>
      </c>
      <c r="G12" s="1303"/>
      <c r="H12" s="1300">
        <f>(H10-H11)*15%</f>
        <v>880.32</v>
      </c>
      <c r="I12" s="1303"/>
      <c r="J12" s="1300">
        <f>(J10-J11)*15%</f>
        <v>2489.7123000000001</v>
      </c>
      <c r="K12" s="1303"/>
      <c r="L12" s="1300">
        <f>(L10-L11)*15%</f>
        <v>3271.4284199999997</v>
      </c>
      <c r="M12" s="1301"/>
    </row>
    <row r="13" spans="1:14" ht="15" thickBot="1" x14ac:dyDescent="0.3">
      <c r="A13" s="1304" t="s">
        <v>3</v>
      </c>
      <c r="B13" s="1305"/>
      <c r="C13" s="1306"/>
      <c r="D13" s="1294">
        <f>(D10-D11)+D12</f>
        <v>9326.3373440000014</v>
      </c>
      <c r="E13" s="1295"/>
      <c r="F13" s="1294">
        <f>(F10-F11)+F12</f>
        <v>13380.077499999999</v>
      </c>
      <c r="G13" s="1295"/>
      <c r="H13" s="1294">
        <f>(H10-H11)+H12</f>
        <v>6749.12</v>
      </c>
      <c r="I13" s="1295"/>
      <c r="J13" s="1294">
        <f>(J10-J11)+J12</f>
        <v>19087.794300000001</v>
      </c>
      <c r="K13" s="1295"/>
      <c r="L13" s="1294">
        <f>(L10-L11)+L12</f>
        <v>25080.951219999999</v>
      </c>
      <c r="M13" s="1302"/>
    </row>
    <row r="15" spans="1:14" x14ac:dyDescent="0.25">
      <c r="E15" s="296"/>
      <c r="F15" s="296"/>
      <c r="G15" s="296"/>
      <c r="H15" s="296"/>
      <c r="I15" s="296"/>
      <c r="J15" s="297" t="s">
        <v>212</v>
      </c>
      <c r="K15" s="296"/>
      <c r="L15" s="298"/>
      <c r="M15" s="296"/>
    </row>
  </sheetData>
  <mergeCells count="31">
    <mergeCell ref="A3:M3"/>
    <mergeCell ref="A4:A5"/>
    <mergeCell ref="D4:E4"/>
    <mergeCell ref="F4:G4"/>
    <mergeCell ref="A10:C10"/>
    <mergeCell ref="D10:E10"/>
    <mergeCell ref="F10:G10"/>
    <mergeCell ref="H10:I10"/>
    <mergeCell ref="A13:C13"/>
    <mergeCell ref="D13:E13"/>
    <mergeCell ref="F13:G13"/>
    <mergeCell ref="J4:K4"/>
    <mergeCell ref="J10:K10"/>
    <mergeCell ref="J11:K11"/>
    <mergeCell ref="J12:K12"/>
    <mergeCell ref="J13:K13"/>
    <mergeCell ref="H4:I4"/>
    <mergeCell ref="A11:C11"/>
    <mergeCell ref="D11:E11"/>
    <mergeCell ref="F11:G11"/>
    <mergeCell ref="A12:C12"/>
    <mergeCell ref="D12:E12"/>
    <mergeCell ref="F12:G12"/>
    <mergeCell ref="H11:I11"/>
    <mergeCell ref="H13:I13"/>
    <mergeCell ref="L4:M4"/>
    <mergeCell ref="L10:M10"/>
    <mergeCell ref="L11:M11"/>
    <mergeCell ref="L12:M12"/>
    <mergeCell ref="L13:M13"/>
    <mergeCell ref="H12:I12"/>
  </mergeCells>
  <pageMargins left="0.25" right="0.25" top="0.75" bottom="0.75" header="0.3" footer="0.3"/>
  <pageSetup orientation="landscape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24F61-19F2-4D97-AD36-01D70DF6501F}">
  <sheetPr codeName="Hoja22"/>
  <dimension ref="A2:J17"/>
  <sheetViews>
    <sheetView showGridLines="0" topLeftCell="A2" workbookViewId="0">
      <selection activeCell="H4" sqref="H4:I4"/>
    </sheetView>
  </sheetViews>
  <sheetFormatPr baseColWidth="10" defaultRowHeight="17.25" x14ac:dyDescent="0.25"/>
  <cols>
    <col min="1" max="1" width="3.42578125" style="2" bestFit="1" customWidth="1"/>
    <col min="2" max="2" width="6.7109375" style="2" bestFit="1" customWidth="1"/>
    <col min="3" max="3" width="22.7109375" style="2" bestFit="1" customWidth="1"/>
    <col min="4" max="4" width="12.28515625" style="2" bestFit="1" customWidth="1"/>
    <col min="5" max="5" width="14.140625" style="2" bestFit="1" customWidth="1"/>
    <col min="6" max="6" width="11" style="2" bestFit="1" customWidth="1"/>
    <col min="7" max="7" width="12.28515625" style="2" bestFit="1" customWidth="1"/>
    <col min="8" max="9" width="15.42578125" style="2" bestFit="1" customWidth="1"/>
    <col min="10" max="10" width="16.5703125" style="6" bestFit="1" customWidth="1"/>
    <col min="11" max="11" width="13.42578125" style="2" bestFit="1" customWidth="1"/>
    <col min="12" max="16384" width="11.42578125" style="2"/>
  </cols>
  <sheetData>
    <row r="2" spans="1:10" ht="18" thickBot="1" x14ac:dyDescent="0.3"/>
    <row r="3" spans="1:10" ht="18" thickBot="1" x14ac:dyDescent="0.3">
      <c r="A3" s="1248" t="s">
        <v>1</v>
      </c>
      <c r="B3" s="1249"/>
      <c r="C3" s="1249"/>
      <c r="D3" s="1250"/>
      <c r="E3" s="1250"/>
      <c r="F3" s="1250"/>
      <c r="G3" s="1250"/>
      <c r="H3" s="1250"/>
      <c r="I3" s="1251"/>
    </row>
    <row r="4" spans="1:10" ht="18" thickBot="1" x14ac:dyDescent="0.3">
      <c r="A4" s="1215" t="s">
        <v>6</v>
      </c>
      <c r="B4" s="29" t="s">
        <v>17</v>
      </c>
      <c r="C4" s="30" t="s">
        <v>216</v>
      </c>
      <c r="D4" s="1252" t="s">
        <v>221</v>
      </c>
      <c r="E4" s="1251"/>
      <c r="F4" s="1248" t="s">
        <v>222</v>
      </c>
      <c r="G4" s="1251"/>
      <c r="H4" s="1248" t="s">
        <v>53</v>
      </c>
      <c r="I4" s="1251"/>
    </row>
    <row r="5" spans="1:10" ht="18" thickBot="1" x14ac:dyDescent="0.3">
      <c r="A5" s="1216"/>
      <c r="B5" s="33" t="s">
        <v>11</v>
      </c>
      <c r="C5" s="21" t="s">
        <v>0</v>
      </c>
      <c r="D5" s="31" t="s">
        <v>14</v>
      </c>
      <c r="E5" s="299" t="s">
        <v>10</v>
      </c>
      <c r="F5" s="31" t="s">
        <v>14</v>
      </c>
      <c r="G5" s="299" t="s">
        <v>10</v>
      </c>
      <c r="H5" s="31" t="s">
        <v>14</v>
      </c>
      <c r="I5" s="32" t="s">
        <v>10</v>
      </c>
    </row>
    <row r="6" spans="1:10" s="157" customFormat="1" x14ac:dyDescent="0.25">
      <c r="A6" s="19">
        <v>1</v>
      </c>
      <c r="B6" s="158">
        <v>10</v>
      </c>
      <c r="C6" s="159" t="s">
        <v>217</v>
      </c>
      <c r="D6" s="160" t="s">
        <v>36</v>
      </c>
      <c r="E6" s="161" t="s">
        <v>36</v>
      </c>
      <c r="F6" s="160" t="s">
        <v>36</v>
      </c>
      <c r="G6" s="161" t="s">
        <v>36</v>
      </c>
      <c r="H6" s="160" t="s">
        <v>36</v>
      </c>
      <c r="I6" s="162" t="s">
        <v>36</v>
      </c>
      <c r="J6" s="302"/>
    </row>
    <row r="7" spans="1:10" s="157" customFormat="1" x14ac:dyDescent="0.25">
      <c r="A7" s="20">
        <v>2</v>
      </c>
      <c r="B7" s="169">
        <v>10</v>
      </c>
      <c r="C7" s="170" t="s">
        <v>218</v>
      </c>
      <c r="D7" s="171">
        <v>581.92999999999995</v>
      </c>
      <c r="E7" s="161">
        <v>775.13</v>
      </c>
      <c r="F7" s="171">
        <v>53.333300000000001</v>
      </c>
      <c r="G7" s="161">
        <f>+F7*7</f>
        <v>373.3331</v>
      </c>
      <c r="H7" s="171">
        <f>13.58*35.92</f>
        <v>487.79360000000003</v>
      </c>
      <c r="I7" s="220">
        <f>11.54*35.92</f>
        <v>414.51679999999999</v>
      </c>
      <c r="J7" s="163" t="s">
        <v>223</v>
      </c>
    </row>
    <row r="8" spans="1:10" s="157" customFormat="1" ht="34.5" x14ac:dyDescent="0.25">
      <c r="A8" s="20">
        <v>3</v>
      </c>
      <c r="B8" s="169">
        <v>2</v>
      </c>
      <c r="C8" s="170" t="s">
        <v>219</v>
      </c>
      <c r="D8" s="171">
        <v>61.64</v>
      </c>
      <c r="E8" s="161">
        <v>110.95</v>
      </c>
      <c r="F8" s="171">
        <v>70.407200000000003</v>
      </c>
      <c r="G8" s="304">
        <f>+F8*$B8</f>
        <v>140.81440000000001</v>
      </c>
      <c r="H8" s="171" t="s">
        <v>36</v>
      </c>
      <c r="I8" s="162" t="s">
        <v>36</v>
      </c>
      <c r="J8" s="302"/>
    </row>
    <row r="9" spans="1:10" s="157" customFormat="1" ht="18" thickBot="1" x14ac:dyDescent="0.3">
      <c r="A9" s="20">
        <v>4</v>
      </c>
      <c r="B9" s="169">
        <v>10</v>
      </c>
      <c r="C9" s="170" t="s">
        <v>220</v>
      </c>
      <c r="D9" s="171" t="s">
        <v>36</v>
      </c>
      <c r="E9" s="161" t="s">
        <v>36</v>
      </c>
      <c r="F9" s="171">
        <v>93.77</v>
      </c>
      <c r="G9" s="161">
        <f>+F9*7</f>
        <v>656.39</v>
      </c>
      <c r="H9" s="171" t="s">
        <v>36</v>
      </c>
      <c r="I9" s="162" t="s">
        <v>36</v>
      </c>
      <c r="J9" s="163"/>
    </row>
    <row r="10" spans="1:10" x14ac:dyDescent="0.25">
      <c r="A10" s="1217" t="s">
        <v>4</v>
      </c>
      <c r="B10" s="1218"/>
      <c r="C10" s="1219"/>
      <c r="D10" s="1245">
        <f>SUM(E6:E9)</f>
        <v>886.08</v>
      </c>
      <c r="E10" s="1246"/>
      <c r="F10" s="1245">
        <f>SUM(G6:G9)</f>
        <v>1170.5374999999999</v>
      </c>
      <c r="G10" s="1246"/>
      <c r="H10" s="1245">
        <f>SUM(I6:I9)</f>
        <v>414.51679999999999</v>
      </c>
      <c r="I10" s="1247"/>
    </row>
    <row r="11" spans="1:10" x14ac:dyDescent="0.25">
      <c r="A11" s="1205" t="s">
        <v>5</v>
      </c>
      <c r="B11" s="1206"/>
      <c r="C11" s="1207"/>
      <c r="D11" s="1283">
        <v>0.1</v>
      </c>
      <c r="E11" s="1284"/>
      <c r="F11" s="1242">
        <v>0</v>
      </c>
      <c r="G11" s="1243"/>
      <c r="H11" s="1283">
        <v>0.15</v>
      </c>
      <c r="I11" s="1322"/>
    </row>
    <row r="12" spans="1:10" x14ac:dyDescent="0.25">
      <c r="A12" s="1205" t="s">
        <v>2</v>
      </c>
      <c r="B12" s="1206"/>
      <c r="C12" s="1207"/>
      <c r="D12" s="1242">
        <f>(D10)*15%</f>
        <v>132.91200000000001</v>
      </c>
      <c r="E12" s="1243"/>
      <c r="F12" s="1242">
        <f>(F10-F11)*15%</f>
        <v>175.58062499999997</v>
      </c>
      <c r="G12" s="1243"/>
      <c r="H12" s="1242">
        <f>(H10)*15%</f>
        <v>62.177519999999994</v>
      </c>
      <c r="I12" s="1244"/>
    </row>
    <row r="13" spans="1:10" ht="18" thickBot="1" x14ac:dyDescent="0.3">
      <c r="A13" s="1236" t="s">
        <v>3</v>
      </c>
      <c r="B13" s="1237"/>
      <c r="C13" s="1238"/>
      <c r="D13" s="1239">
        <f>(D10)+D12</f>
        <v>1018.9920000000001</v>
      </c>
      <c r="E13" s="1240"/>
      <c r="F13" s="1239">
        <f>(F10-F11)+F12</f>
        <v>1346.118125</v>
      </c>
      <c r="G13" s="1240"/>
      <c r="H13" s="1239">
        <f>(H10)+H12</f>
        <v>476.69432</v>
      </c>
      <c r="I13" s="1241"/>
    </row>
    <row r="15" spans="1:10" ht="31.5" customHeight="1" x14ac:dyDescent="0.25">
      <c r="D15" s="303"/>
      <c r="E15" s="164"/>
      <c r="F15" s="1323" t="s">
        <v>224</v>
      </c>
      <c r="G15" s="1323"/>
      <c r="I15" s="164"/>
    </row>
    <row r="17" spans="6:7" x14ac:dyDescent="0.25">
      <c r="F17" s="1321" t="s">
        <v>225</v>
      </c>
      <c r="G17" s="1321"/>
    </row>
  </sheetData>
  <mergeCells count="23">
    <mergeCell ref="A10:C10"/>
    <mergeCell ref="D10:E10"/>
    <mergeCell ref="F10:G10"/>
    <mergeCell ref="H10:I10"/>
    <mergeCell ref="A3:I3"/>
    <mergeCell ref="A4:A5"/>
    <mergeCell ref="D4:E4"/>
    <mergeCell ref="F4:G4"/>
    <mergeCell ref="H4:I4"/>
    <mergeCell ref="F17:G17"/>
    <mergeCell ref="A11:C11"/>
    <mergeCell ref="D11:E11"/>
    <mergeCell ref="F11:G11"/>
    <mergeCell ref="H11:I11"/>
    <mergeCell ref="A12:C12"/>
    <mergeCell ref="D12:E12"/>
    <mergeCell ref="F12:G12"/>
    <mergeCell ref="H12:I12"/>
    <mergeCell ref="A13:C13"/>
    <mergeCell ref="D13:E13"/>
    <mergeCell ref="F13:G13"/>
    <mergeCell ref="H13:I13"/>
    <mergeCell ref="F15:G15"/>
  </mergeCells>
  <pageMargins left="0.25" right="0.25" top="0.75" bottom="0.75" header="0.3" footer="0.3"/>
  <pageSetup orientation="landscape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19B5D-C6E4-4250-8EDE-21BE8182A61F}">
  <sheetPr codeName="Hoja23"/>
  <dimension ref="B2:I13"/>
  <sheetViews>
    <sheetView showGridLines="0" workbookViewId="0">
      <selection activeCell="E4" sqref="E4:F4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5" width="12.7109375" style="2" bestFit="1" customWidth="1"/>
    <col min="6" max="6" width="14" style="2" bestFit="1" customWidth="1"/>
    <col min="7" max="8" width="12.7109375" style="2" bestFit="1" customWidth="1"/>
    <col min="9" max="9" width="14" style="6" bestFit="1" customWidth="1"/>
    <col min="10" max="10" width="13.42578125" style="2" bestFit="1" customWidth="1"/>
    <col min="11" max="16384" width="11.4257812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328"/>
      <c r="H3" s="1251"/>
    </row>
    <row r="4" spans="2:9" ht="18" thickBot="1" x14ac:dyDescent="0.3">
      <c r="B4" s="1215" t="s">
        <v>6</v>
      </c>
      <c r="C4" s="29" t="s">
        <v>17</v>
      </c>
      <c r="D4" s="30" t="s">
        <v>226</v>
      </c>
      <c r="E4" s="1252" t="s">
        <v>227</v>
      </c>
      <c r="F4" s="1251"/>
      <c r="G4" s="1252" t="s">
        <v>228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301" t="s">
        <v>10</v>
      </c>
      <c r="G5" s="31" t="s">
        <v>14</v>
      </c>
      <c r="H5" s="32" t="s">
        <v>10</v>
      </c>
    </row>
    <row r="6" spans="2:9" s="157" customFormat="1" ht="34.5" x14ac:dyDescent="0.25">
      <c r="B6" s="19">
        <v>1</v>
      </c>
      <c r="C6" s="158">
        <v>6</v>
      </c>
      <c r="D6" s="159" t="s">
        <v>229</v>
      </c>
      <c r="E6" s="311">
        <f>133*TC!C3</f>
        <v>4747.4084000000003</v>
      </c>
      <c r="F6" s="312">
        <f>+E6*$C6</f>
        <v>28484.450400000002</v>
      </c>
      <c r="G6" s="311">
        <f>79.31*TC!C3</f>
        <v>2830.9545880000001</v>
      </c>
      <c r="H6" s="313">
        <f>+G6*2</f>
        <v>5661.9091760000001</v>
      </c>
      <c r="I6" s="302" t="s">
        <v>231</v>
      </c>
    </row>
    <row r="7" spans="2:9" s="157" customFormat="1" ht="18" thickBot="1" x14ac:dyDescent="0.3">
      <c r="B7" s="20">
        <v>2</v>
      </c>
      <c r="C7" s="169">
        <v>6</v>
      </c>
      <c r="D7" s="170" t="s">
        <v>230</v>
      </c>
      <c r="E7" s="314">
        <f>133*TC!C3</f>
        <v>4747.4084000000003</v>
      </c>
      <c r="F7" s="312">
        <f t="shared" ref="F7" si="0">+E7*$C7</f>
        <v>28484.450400000002</v>
      </c>
      <c r="G7" s="314" t="s">
        <v>36</v>
      </c>
      <c r="H7" s="313" t="s">
        <v>36</v>
      </c>
      <c r="I7" s="163"/>
    </row>
    <row r="8" spans="2:9" x14ac:dyDescent="0.25">
      <c r="B8" s="1217" t="s">
        <v>4</v>
      </c>
      <c r="C8" s="1218"/>
      <c r="D8" s="1219"/>
      <c r="E8" s="1329">
        <f>SUM(F6:F7)</f>
        <v>56968.900800000003</v>
      </c>
      <c r="F8" s="1330"/>
      <c r="G8" s="1329">
        <f>SUM(H6:H7)</f>
        <v>5661.9091760000001</v>
      </c>
      <c r="H8" s="1331"/>
    </row>
    <row r="9" spans="2:9" x14ac:dyDescent="0.25">
      <c r="B9" s="1205" t="s">
        <v>5</v>
      </c>
      <c r="C9" s="1206"/>
      <c r="D9" s="1207"/>
      <c r="E9" s="1324">
        <f>+E8*5%</f>
        <v>2848.4450400000005</v>
      </c>
      <c r="F9" s="1333"/>
      <c r="G9" s="1324">
        <v>0</v>
      </c>
      <c r="H9" s="1325"/>
    </row>
    <row r="10" spans="2:9" x14ac:dyDescent="0.25">
      <c r="B10" s="1205" t="s">
        <v>2</v>
      </c>
      <c r="C10" s="1206"/>
      <c r="D10" s="1207"/>
      <c r="E10" s="1324">
        <f>(E8-E9)*15%</f>
        <v>8118.0683640000007</v>
      </c>
      <c r="F10" s="1333"/>
      <c r="G10" s="1324">
        <f>(G8-G9)*15%</f>
        <v>849.28637639999999</v>
      </c>
      <c r="H10" s="1325"/>
    </row>
    <row r="11" spans="2:9" ht="18" thickBot="1" x14ac:dyDescent="0.3">
      <c r="B11" s="1236" t="s">
        <v>3</v>
      </c>
      <c r="C11" s="1237"/>
      <c r="D11" s="1238"/>
      <c r="E11" s="1326">
        <f>(E8-E9)+E10</f>
        <v>62238.524124000003</v>
      </c>
      <c r="F11" s="1332"/>
      <c r="G11" s="1326">
        <f>(G8-G9)+G10</f>
        <v>6511.1955524000005</v>
      </c>
      <c r="H11" s="1327"/>
    </row>
    <row r="13" spans="2:9" x14ac:dyDescent="0.25">
      <c r="F13" s="164"/>
      <c r="H13" s="164"/>
    </row>
  </sheetData>
  <mergeCells count="16">
    <mergeCell ref="G9:H9"/>
    <mergeCell ref="G10:H10"/>
    <mergeCell ref="G11:H11"/>
    <mergeCell ref="B3:H3"/>
    <mergeCell ref="B4:B5"/>
    <mergeCell ref="E4:F4"/>
    <mergeCell ref="B8:D8"/>
    <mergeCell ref="E8:F8"/>
    <mergeCell ref="G4:H4"/>
    <mergeCell ref="G8:H8"/>
    <mergeCell ref="B11:D11"/>
    <mergeCell ref="E11:F11"/>
    <mergeCell ref="B9:D9"/>
    <mergeCell ref="E9:F9"/>
    <mergeCell ref="B10:D10"/>
    <mergeCell ref="E10:F10"/>
  </mergeCells>
  <conditionalFormatting sqref="F6:F7 H6:H7">
    <cfRule type="expression" dxfId="467" priority="81">
      <formula>E6=""</formula>
    </cfRule>
    <cfRule type="expression" dxfId="466" priority="82">
      <formula>E6=MIN($E6,#REF!,#REF!)</formula>
    </cfRule>
  </conditionalFormatting>
  <pageMargins left="0.25" right="0.25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C2DDF-0501-4B1D-840A-B32F0299EEC6}">
  <sheetPr codeName="Hoja24"/>
  <dimension ref="B2:G8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1" style="1" bestFit="1" customWidth="1"/>
    <col min="5" max="6" width="15.42578125" style="1" bestFit="1" customWidth="1"/>
    <col min="7" max="7" width="13.42578125" style="5" bestFit="1" customWidth="1"/>
    <col min="8" max="8" width="13.42578125" style="1" bestFit="1" customWidth="1"/>
    <col min="9" max="16384" width="11.42578125" style="1"/>
  </cols>
  <sheetData>
    <row r="2" spans="2:7" s="2" customFormat="1" ht="18" thickBot="1" x14ac:dyDescent="0.3">
      <c r="G2" s="6"/>
    </row>
    <row r="3" spans="2:7" s="3" customFormat="1" ht="18" thickBot="1" x14ac:dyDescent="0.35">
      <c r="B3" s="1341" t="s">
        <v>1</v>
      </c>
      <c r="C3" s="1342"/>
      <c r="D3" s="1342"/>
      <c r="E3" s="1342"/>
      <c r="F3" s="1343"/>
      <c r="G3" s="7"/>
    </row>
    <row r="4" spans="2:7" ht="18" thickBot="1" x14ac:dyDescent="0.35">
      <c r="B4" s="1334" t="s">
        <v>6</v>
      </c>
      <c r="C4" s="29" t="s">
        <v>17</v>
      </c>
      <c r="D4" s="30" t="s">
        <v>232</v>
      </c>
      <c r="E4" s="307" t="s">
        <v>234</v>
      </c>
      <c r="F4" s="307" t="s">
        <v>92</v>
      </c>
    </row>
    <row r="5" spans="2:7" ht="18" thickBot="1" x14ac:dyDescent="0.35">
      <c r="B5" s="1216"/>
      <c r="C5" s="33" t="s">
        <v>11</v>
      </c>
      <c r="D5" s="21" t="s">
        <v>0</v>
      </c>
      <c r="E5" s="308" t="s">
        <v>10</v>
      </c>
      <c r="F5" s="32" t="s">
        <v>10</v>
      </c>
    </row>
    <row r="6" spans="2:7" ht="18" thickBot="1" x14ac:dyDescent="0.35">
      <c r="B6" s="315">
        <v>1</v>
      </c>
      <c r="C6" s="316">
        <v>1</v>
      </c>
      <c r="D6" s="317" t="s">
        <v>233</v>
      </c>
      <c r="E6" s="318">
        <v>14500</v>
      </c>
      <c r="F6" s="319">
        <v>16076.48</v>
      </c>
    </row>
    <row r="7" spans="2:7" x14ac:dyDescent="0.3">
      <c r="B7" s="1335" t="s">
        <v>2</v>
      </c>
      <c r="C7" s="1336"/>
      <c r="D7" s="1337"/>
      <c r="E7" s="305">
        <v>0</v>
      </c>
      <c r="F7" s="306">
        <v>2411.4699999999998</v>
      </c>
    </row>
    <row r="8" spans="2:7" ht="18" thickBot="1" x14ac:dyDescent="0.35">
      <c r="B8" s="1338" t="s">
        <v>3</v>
      </c>
      <c r="C8" s="1339"/>
      <c r="D8" s="1340"/>
      <c r="E8" s="309">
        <f>+E6</f>
        <v>14500</v>
      </c>
      <c r="F8" s="310">
        <f>+F6+F7</f>
        <v>18487.95</v>
      </c>
    </row>
  </sheetData>
  <mergeCells count="4">
    <mergeCell ref="B4:B5"/>
    <mergeCell ref="B7:D7"/>
    <mergeCell ref="B8:D8"/>
    <mergeCell ref="B3:F3"/>
  </mergeCells>
  <conditionalFormatting sqref="E6:F6">
    <cfRule type="expression" dxfId="465" priority="87">
      <formula>#REF!=""</formula>
    </cfRule>
    <cfRule type="expression" dxfId="464" priority="88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2D7BA2-0F27-4DCC-9985-F14F6F40CC93}">
  <sheetPr codeName="Hoja25"/>
  <dimension ref="B2:K14"/>
  <sheetViews>
    <sheetView showGridLines="0" workbookViewId="0">
      <selection activeCell="B3" sqref="B3:J3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8.28515625" style="108" bestFit="1" customWidth="1"/>
    <col min="5" max="5" width="10" style="108" bestFit="1" customWidth="1"/>
    <col min="6" max="6" width="12.85546875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0" width="12.85546875" style="108" bestFit="1" customWidth="1"/>
    <col min="11" max="11" width="13.42578125" style="109" bestFit="1" customWidth="1"/>
    <col min="12" max="12" width="13.42578125" style="108" bestFit="1" customWidth="1"/>
    <col min="13" max="16384" width="11.42578125" style="108"/>
  </cols>
  <sheetData>
    <row r="2" spans="2:11" ht="16.5" thickBot="1" x14ac:dyDescent="0.3"/>
    <row r="3" spans="2:11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1"/>
      <c r="K3" s="35"/>
    </row>
    <row r="4" spans="2:11" s="34" customFormat="1" ht="16.5" thickBot="1" x14ac:dyDescent="0.3">
      <c r="B4" s="1182" t="s">
        <v>6</v>
      </c>
      <c r="C4" s="110" t="s">
        <v>17</v>
      </c>
      <c r="D4" s="111" t="s">
        <v>235</v>
      </c>
      <c r="E4" s="1184" t="s">
        <v>100</v>
      </c>
      <c r="F4" s="1102"/>
      <c r="G4" s="1100" t="s">
        <v>239</v>
      </c>
      <c r="H4" s="1102"/>
      <c r="I4" s="1100" t="s">
        <v>98</v>
      </c>
      <c r="J4" s="1102"/>
      <c r="K4" s="35"/>
    </row>
    <row r="5" spans="2:11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320" t="s">
        <v>10</v>
      </c>
      <c r="G5" s="114" t="s">
        <v>14</v>
      </c>
      <c r="H5" s="320" t="s">
        <v>10</v>
      </c>
      <c r="I5" s="114" t="s">
        <v>14</v>
      </c>
      <c r="J5" s="116" t="s">
        <v>10</v>
      </c>
      <c r="K5" s="35"/>
    </row>
    <row r="6" spans="2:11" s="124" customFormat="1" x14ac:dyDescent="0.25">
      <c r="B6" s="117">
        <v>1</v>
      </c>
      <c r="C6" s="118">
        <v>6</v>
      </c>
      <c r="D6" s="119" t="s">
        <v>236</v>
      </c>
      <c r="E6" s="120" t="s">
        <v>36</v>
      </c>
      <c r="F6" s="121" t="s">
        <v>36</v>
      </c>
      <c r="G6" s="120">
        <f>22*TC!C3</f>
        <v>785.28560000000004</v>
      </c>
      <c r="H6" s="121">
        <f>+G6*$C6</f>
        <v>4711.7136</v>
      </c>
      <c r="I6" s="120">
        <v>738</v>
      </c>
      <c r="J6" s="122">
        <f>+I6*$C6</f>
        <v>4428</v>
      </c>
      <c r="K6" s="123"/>
    </row>
    <row r="7" spans="2:11" s="124" customFormat="1" x14ac:dyDescent="0.25">
      <c r="B7" s="125">
        <v>2</v>
      </c>
      <c r="C7" s="126">
        <v>6</v>
      </c>
      <c r="D7" s="127" t="s">
        <v>237</v>
      </c>
      <c r="E7" s="128" t="s">
        <v>36</v>
      </c>
      <c r="F7" s="121" t="s">
        <v>36</v>
      </c>
      <c r="G7" s="128" t="s">
        <v>36</v>
      </c>
      <c r="H7" s="121" t="s">
        <v>36</v>
      </c>
      <c r="I7" s="128">
        <v>738</v>
      </c>
      <c r="J7" s="122">
        <f t="shared" ref="J7:J8" si="0">+I7*$C7</f>
        <v>4428</v>
      </c>
      <c r="K7" s="123"/>
    </row>
    <row r="8" spans="2:11" s="124" customFormat="1" ht="16.5" thickBot="1" x14ac:dyDescent="0.3">
      <c r="B8" s="125">
        <v>3</v>
      </c>
      <c r="C8" s="126">
        <v>20</v>
      </c>
      <c r="D8" s="127" t="s">
        <v>238</v>
      </c>
      <c r="E8" s="128">
        <v>60</v>
      </c>
      <c r="F8" s="121">
        <f t="shared" ref="F8" si="1">+E8*$C8</f>
        <v>1200</v>
      </c>
      <c r="G8" s="128">
        <f>2.1*TC!C3</f>
        <v>74.95908</v>
      </c>
      <c r="H8" s="121">
        <f t="shared" ref="H8" si="2">+G8*$C8</f>
        <v>1499.1815999999999</v>
      </c>
      <c r="I8" s="128">
        <v>94.79</v>
      </c>
      <c r="J8" s="122">
        <f t="shared" si="0"/>
        <v>1895.8000000000002</v>
      </c>
      <c r="K8" s="123"/>
    </row>
    <row r="9" spans="2:11" x14ac:dyDescent="0.25">
      <c r="B9" s="1094" t="s">
        <v>4</v>
      </c>
      <c r="C9" s="1095"/>
      <c r="D9" s="1185"/>
      <c r="E9" s="1186">
        <f>SUM(F6:F8)</f>
        <v>1200</v>
      </c>
      <c r="F9" s="1187"/>
      <c r="G9" s="1186">
        <f>SUM(H6:H8)</f>
        <v>6210.8951999999999</v>
      </c>
      <c r="H9" s="1187"/>
      <c r="I9" s="1186">
        <f>SUM(J6:J8)</f>
        <v>10751.8</v>
      </c>
      <c r="J9" s="1188"/>
    </row>
    <row r="10" spans="2:11" x14ac:dyDescent="0.25">
      <c r="B10" s="1096" t="s">
        <v>5</v>
      </c>
      <c r="C10" s="1097"/>
      <c r="D10" s="1195"/>
      <c r="E10" s="1176">
        <v>0</v>
      </c>
      <c r="F10" s="1196"/>
      <c r="G10" s="1176">
        <v>0</v>
      </c>
      <c r="H10" s="1196"/>
      <c r="I10" s="1176">
        <v>0</v>
      </c>
      <c r="J10" s="1177"/>
    </row>
    <row r="11" spans="2:11" x14ac:dyDescent="0.25">
      <c r="B11" s="1199" t="s">
        <v>2</v>
      </c>
      <c r="C11" s="1200"/>
      <c r="D11" s="1201"/>
      <c r="E11" s="1176">
        <f>(E9-E10)*15%</f>
        <v>180</v>
      </c>
      <c r="F11" s="1196"/>
      <c r="G11" s="1176">
        <f>(G9-G10)*15%</f>
        <v>931.63427999999999</v>
      </c>
      <c r="H11" s="1196"/>
      <c r="I11" s="1176">
        <f>(I9-I10)*15%</f>
        <v>1612.7699999999998</v>
      </c>
      <c r="J11" s="1177"/>
    </row>
    <row r="12" spans="2:11" ht="16.5" thickBot="1" x14ac:dyDescent="0.3">
      <c r="B12" s="1189" t="s">
        <v>3</v>
      </c>
      <c r="C12" s="1190"/>
      <c r="D12" s="1191"/>
      <c r="E12" s="1192">
        <f>(E9-E10)+E11</f>
        <v>1380</v>
      </c>
      <c r="F12" s="1193"/>
      <c r="G12" s="1192">
        <f>(G9-G10)+G11</f>
        <v>7142.5294800000001</v>
      </c>
      <c r="H12" s="1193"/>
      <c r="I12" s="1192">
        <f>(I9-I10)+I11</f>
        <v>12364.57</v>
      </c>
      <c r="J12" s="1194"/>
    </row>
    <row r="14" spans="2:11" x14ac:dyDescent="0.25">
      <c r="F14" s="129"/>
      <c r="G14" s="129"/>
      <c r="H14" s="129"/>
      <c r="J14" s="129"/>
    </row>
  </sheetData>
  <mergeCells count="21">
    <mergeCell ref="B12:D12"/>
    <mergeCell ref="E12:F12"/>
    <mergeCell ref="G12:H12"/>
    <mergeCell ref="I12:J12"/>
    <mergeCell ref="B10:D10"/>
    <mergeCell ref="E10:F10"/>
    <mergeCell ref="G10:H10"/>
    <mergeCell ref="I10:J10"/>
    <mergeCell ref="B11:D11"/>
    <mergeCell ref="E11:F11"/>
    <mergeCell ref="G11:H11"/>
    <mergeCell ref="I11:J11"/>
    <mergeCell ref="B9:D9"/>
    <mergeCell ref="E9:F9"/>
    <mergeCell ref="G9:H9"/>
    <mergeCell ref="I9:J9"/>
    <mergeCell ref="B3:J3"/>
    <mergeCell ref="B4:B5"/>
    <mergeCell ref="E4:F4"/>
    <mergeCell ref="G4:H4"/>
    <mergeCell ref="I4:J4"/>
  </mergeCells>
  <conditionalFormatting sqref="F6:F8 H6:H8 J6:J8">
    <cfRule type="expression" dxfId="463" priority="5">
      <formula>E6=""</formula>
    </cfRule>
    <cfRule type="expression" dxfId="462" priority="6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A82E-2CF1-4AB5-9877-78113DCDEB44}">
  <sheetPr codeName="Hoja26"/>
  <dimension ref="A1:N21"/>
  <sheetViews>
    <sheetView showGridLines="0" workbookViewId="0">
      <selection activeCell="L2" sqref="L2:M2"/>
    </sheetView>
  </sheetViews>
  <sheetFormatPr baseColWidth="10" defaultRowHeight="15.75" x14ac:dyDescent="0.25"/>
  <cols>
    <col min="1" max="1" width="4.140625" style="34" bestFit="1" customWidth="1"/>
    <col min="2" max="2" width="6.28515625" style="34" bestFit="1" customWidth="1"/>
    <col min="3" max="3" width="19.7109375" style="34" bestFit="1" customWidth="1"/>
    <col min="4" max="11" width="12.85546875" style="34" bestFit="1" customWidth="1"/>
    <col min="12" max="13" width="14" style="34" bestFit="1" customWidth="1"/>
    <col min="14" max="14" width="28.28515625" style="35" bestFit="1" customWidth="1"/>
    <col min="15" max="15" width="13.42578125" style="34" bestFit="1" customWidth="1"/>
    <col min="16" max="16384" width="11.42578125" style="34"/>
  </cols>
  <sheetData>
    <row r="1" spans="1:14" ht="16.5" thickBot="1" x14ac:dyDescent="0.3">
      <c r="A1" s="1100" t="s">
        <v>1</v>
      </c>
      <c r="B1" s="1350"/>
      <c r="C1" s="1350"/>
      <c r="D1" s="1101"/>
      <c r="E1" s="1101"/>
      <c r="F1" s="1101"/>
      <c r="G1" s="1101"/>
      <c r="H1" s="1101"/>
      <c r="I1" s="1101"/>
      <c r="J1" s="1101"/>
      <c r="K1" s="1101"/>
      <c r="L1" s="1101"/>
      <c r="M1" s="1102"/>
    </row>
    <row r="2" spans="1:14" ht="16.5" thickBot="1" x14ac:dyDescent="0.3">
      <c r="A2" s="1182" t="s">
        <v>6</v>
      </c>
      <c r="B2" s="110" t="s">
        <v>17</v>
      </c>
      <c r="C2" s="111" t="s">
        <v>240</v>
      </c>
      <c r="D2" s="1100" t="s">
        <v>251</v>
      </c>
      <c r="E2" s="1102"/>
      <c r="F2" s="1100" t="s">
        <v>72</v>
      </c>
      <c r="G2" s="1102"/>
      <c r="H2" s="1100" t="s">
        <v>252</v>
      </c>
      <c r="I2" s="1102"/>
      <c r="J2" s="1100" t="s">
        <v>49</v>
      </c>
      <c r="K2" s="1102"/>
      <c r="L2" s="1184" t="s">
        <v>53</v>
      </c>
      <c r="M2" s="1102"/>
    </row>
    <row r="3" spans="1:14" ht="16.5" thickBot="1" x14ac:dyDescent="0.3">
      <c r="A3" s="1183"/>
      <c r="B3" s="112" t="s">
        <v>11</v>
      </c>
      <c r="C3" s="337" t="s">
        <v>0</v>
      </c>
      <c r="D3" s="338" t="s">
        <v>14</v>
      </c>
      <c r="E3" s="116" t="s">
        <v>10</v>
      </c>
      <c r="F3" s="338" t="s">
        <v>14</v>
      </c>
      <c r="G3" s="116" t="s">
        <v>10</v>
      </c>
      <c r="H3" s="338" t="s">
        <v>14</v>
      </c>
      <c r="I3" s="116" t="s">
        <v>10</v>
      </c>
      <c r="J3" s="338" t="s">
        <v>14</v>
      </c>
      <c r="K3" s="116" t="s">
        <v>10</v>
      </c>
      <c r="L3" s="339" t="s">
        <v>14</v>
      </c>
      <c r="M3" s="116" t="s">
        <v>10</v>
      </c>
    </row>
    <row r="4" spans="1:14" s="346" customFormat="1" x14ac:dyDescent="0.25">
      <c r="A4" s="117">
        <v>1</v>
      </c>
      <c r="B4" s="340">
        <v>2</v>
      </c>
      <c r="C4" s="341" t="s">
        <v>241</v>
      </c>
      <c r="D4" s="342">
        <v>690</v>
      </c>
      <c r="E4" s="343">
        <f>+D4*$B4</f>
        <v>1380</v>
      </c>
      <c r="F4" s="342">
        <v>1300</v>
      </c>
      <c r="G4" s="343">
        <f>+F4*$B4</f>
        <v>2600</v>
      </c>
      <c r="H4" s="342">
        <v>750</v>
      </c>
      <c r="I4" s="343">
        <f>+H4*$B4</f>
        <v>1500</v>
      </c>
      <c r="J4" s="342">
        <f>1455.33/B4</f>
        <v>727.66499999999996</v>
      </c>
      <c r="K4" s="343">
        <f>+J4*$B4</f>
        <v>1455.33</v>
      </c>
      <c r="L4" s="344">
        <f>(204.68/B4)*35.92</f>
        <v>3676.0528000000004</v>
      </c>
      <c r="M4" s="343">
        <f>+L4*$B4</f>
        <v>7352.1056000000008</v>
      </c>
      <c r="N4" s="345"/>
    </row>
    <row r="5" spans="1:14" s="346" customFormat="1" x14ac:dyDescent="0.25">
      <c r="A5" s="125">
        <v>2</v>
      </c>
      <c r="B5" s="347">
        <v>2</v>
      </c>
      <c r="C5" s="348" t="s">
        <v>242</v>
      </c>
      <c r="D5" s="349">
        <v>1750</v>
      </c>
      <c r="E5" s="343">
        <f t="shared" ref="E5:E7" si="0">+D5*$B5</f>
        <v>3500</v>
      </c>
      <c r="F5" s="349">
        <v>1100</v>
      </c>
      <c r="G5" s="343">
        <f t="shared" ref="G5:G8" si="1">+F5*$B5</f>
        <v>2200</v>
      </c>
      <c r="H5" s="349">
        <v>1110</v>
      </c>
      <c r="I5" s="343">
        <f t="shared" ref="I5:I8" si="2">+H5*$B5</f>
        <v>2220</v>
      </c>
      <c r="J5" s="349">
        <f>1307.25/B5</f>
        <v>653.625</v>
      </c>
      <c r="K5" s="343">
        <f t="shared" ref="K5:K8" si="3">+J5*$B5</f>
        <v>1307.25</v>
      </c>
      <c r="L5" s="344">
        <f>(253.86/2)*35.92</f>
        <v>4559.3256000000001</v>
      </c>
      <c r="M5" s="343">
        <f t="shared" ref="M5:M8" si="4">+L5*$B5</f>
        <v>9118.6512000000002</v>
      </c>
      <c r="N5" s="345"/>
    </row>
    <row r="6" spans="1:14" s="346" customFormat="1" ht="31.5" x14ac:dyDescent="0.25">
      <c r="A6" s="125">
        <v>3</v>
      </c>
      <c r="B6" s="347">
        <v>2</v>
      </c>
      <c r="C6" s="348" t="s">
        <v>243</v>
      </c>
      <c r="D6" s="349">
        <f>+E6/B6</f>
        <v>1360</v>
      </c>
      <c r="E6" s="343">
        <f>1370+1350</f>
        <v>2720</v>
      </c>
      <c r="F6" s="349">
        <v>950</v>
      </c>
      <c r="G6" s="343">
        <f t="shared" si="1"/>
        <v>1900</v>
      </c>
      <c r="H6" s="349">
        <v>960</v>
      </c>
      <c r="I6" s="343">
        <f t="shared" si="2"/>
        <v>1920</v>
      </c>
      <c r="J6" s="349">
        <v>582.14</v>
      </c>
      <c r="K6" s="343">
        <f t="shared" si="3"/>
        <v>1164.28</v>
      </c>
      <c r="L6" s="344">
        <f>(59.5)*35.92</f>
        <v>2137.2400000000002</v>
      </c>
      <c r="M6" s="343">
        <f>+L6*$B6</f>
        <v>4274.4800000000005</v>
      </c>
      <c r="N6" s="345"/>
    </row>
    <row r="7" spans="1:14" s="346" customFormat="1" ht="31.5" x14ac:dyDescent="0.25">
      <c r="A7" s="125">
        <v>4</v>
      </c>
      <c r="B7" s="347">
        <v>2</v>
      </c>
      <c r="C7" s="348" t="s">
        <v>244</v>
      </c>
      <c r="D7" s="349">
        <v>1350</v>
      </c>
      <c r="E7" s="343">
        <f t="shared" si="0"/>
        <v>2700</v>
      </c>
      <c r="F7" s="349">
        <v>1700</v>
      </c>
      <c r="G7" s="343">
        <f t="shared" si="1"/>
        <v>3400</v>
      </c>
      <c r="H7" s="349">
        <v>1760</v>
      </c>
      <c r="I7" s="343">
        <f t="shared" si="2"/>
        <v>3520</v>
      </c>
      <c r="J7" s="349">
        <f>1786.69/B7</f>
        <v>893.34500000000003</v>
      </c>
      <c r="K7" s="343">
        <f t="shared" si="3"/>
        <v>1786.69</v>
      </c>
      <c r="L7" s="344">
        <f>(115.26/2)*35.92</f>
        <v>2070.0696000000003</v>
      </c>
      <c r="M7" s="343">
        <f t="shared" si="4"/>
        <v>4140.1392000000005</v>
      </c>
      <c r="N7" s="345"/>
    </row>
    <row r="8" spans="1:14" s="346" customFormat="1" ht="31.5" x14ac:dyDescent="0.25">
      <c r="A8" s="125">
        <v>5</v>
      </c>
      <c r="B8" s="347">
        <v>2</v>
      </c>
      <c r="C8" s="341" t="s">
        <v>245</v>
      </c>
      <c r="D8" s="342">
        <v>650</v>
      </c>
      <c r="E8" s="343">
        <f>+D8*$B8</f>
        <v>1300</v>
      </c>
      <c r="F8" s="342">
        <v>1050</v>
      </c>
      <c r="G8" s="343">
        <f t="shared" si="1"/>
        <v>2100</v>
      </c>
      <c r="H8" s="342">
        <v>930</v>
      </c>
      <c r="I8" s="343">
        <f t="shared" si="2"/>
        <v>1860</v>
      </c>
      <c r="J8" s="342">
        <f>1164.27/B8</f>
        <v>582.13499999999999</v>
      </c>
      <c r="K8" s="343">
        <f t="shared" si="3"/>
        <v>1164.27</v>
      </c>
      <c r="L8" s="344">
        <f>(163.34/B8)*35.92</f>
        <v>2933.5864000000001</v>
      </c>
      <c r="M8" s="343">
        <f t="shared" si="4"/>
        <v>5867.1728000000003</v>
      </c>
      <c r="N8" s="345"/>
    </row>
    <row r="9" spans="1:14" s="346" customFormat="1" ht="31.5" x14ac:dyDescent="0.25">
      <c r="A9" s="117">
        <v>6</v>
      </c>
      <c r="B9" s="340">
        <v>1</v>
      </c>
      <c r="C9" s="348" t="s">
        <v>246</v>
      </c>
      <c r="D9" s="349">
        <v>1150</v>
      </c>
      <c r="E9" s="343">
        <f>+D9*$B9</f>
        <v>1150</v>
      </c>
      <c r="F9" s="349">
        <v>800</v>
      </c>
      <c r="G9" s="343">
        <f>+F9*$B9</f>
        <v>800</v>
      </c>
      <c r="H9" s="349">
        <v>780</v>
      </c>
      <c r="I9" s="343">
        <f>+H9*$B9</f>
        <v>780</v>
      </c>
      <c r="J9" s="349">
        <v>687.38</v>
      </c>
      <c r="K9" s="343">
        <f>+J9*$B9</f>
        <v>687.38</v>
      </c>
      <c r="L9" s="344">
        <f>(244.04/2)*35.92</f>
        <v>4382.9584000000004</v>
      </c>
      <c r="M9" s="343">
        <f>+L9*$B9</f>
        <v>4382.9584000000004</v>
      </c>
      <c r="N9" s="345"/>
    </row>
    <row r="10" spans="1:14" s="346" customFormat="1" ht="31.5" x14ac:dyDescent="0.25">
      <c r="A10" s="125">
        <v>7</v>
      </c>
      <c r="B10" s="347">
        <v>1</v>
      </c>
      <c r="C10" s="348" t="s">
        <v>247</v>
      </c>
      <c r="D10" s="349">
        <v>600</v>
      </c>
      <c r="E10" s="343">
        <f t="shared" ref="E10:E11" si="5">+D10*$B10</f>
        <v>600</v>
      </c>
      <c r="F10" s="349">
        <v>700</v>
      </c>
      <c r="G10" s="343">
        <f t="shared" ref="G10:G12" si="6">+F10*$B10</f>
        <v>700</v>
      </c>
      <c r="H10" s="349">
        <v>680</v>
      </c>
      <c r="I10" s="343">
        <f t="shared" ref="I10:I11" si="7">+H10*$B10</f>
        <v>680</v>
      </c>
      <c r="J10" s="349">
        <v>515.46</v>
      </c>
      <c r="K10" s="343">
        <f t="shared" ref="K10:K11" si="8">+J10*$B10</f>
        <v>515.46</v>
      </c>
      <c r="L10" s="344">
        <f>(244.04/2)*35.92</f>
        <v>4382.9584000000004</v>
      </c>
      <c r="M10" s="343">
        <f t="shared" ref="M10:M12" si="9">+L10*$B10</f>
        <v>4382.9584000000004</v>
      </c>
      <c r="N10" s="345"/>
    </row>
    <row r="11" spans="1:14" s="346" customFormat="1" x14ac:dyDescent="0.25">
      <c r="A11" s="125">
        <v>8</v>
      </c>
      <c r="B11" s="347">
        <v>2</v>
      </c>
      <c r="C11" s="348" t="s">
        <v>248</v>
      </c>
      <c r="D11" s="349">
        <v>3800</v>
      </c>
      <c r="E11" s="343">
        <f t="shared" si="5"/>
        <v>7600</v>
      </c>
      <c r="F11" s="349">
        <v>1500</v>
      </c>
      <c r="G11" s="343">
        <f t="shared" si="6"/>
        <v>3000</v>
      </c>
      <c r="H11" s="349">
        <v>1800</v>
      </c>
      <c r="I11" s="343">
        <f t="shared" si="7"/>
        <v>3600</v>
      </c>
      <c r="J11" s="349">
        <f>(1564.55+1637.18)/B11</f>
        <v>1600.865</v>
      </c>
      <c r="K11" s="343">
        <f t="shared" si="8"/>
        <v>3201.73</v>
      </c>
      <c r="L11" s="344">
        <f>264.94*35.92</f>
        <v>9516.6448</v>
      </c>
      <c r="M11" s="343">
        <f t="shared" si="9"/>
        <v>19033.2896</v>
      </c>
      <c r="N11" s="345"/>
    </row>
    <row r="12" spans="1:14" s="346" customFormat="1" x14ac:dyDescent="0.25">
      <c r="A12" s="125">
        <v>9</v>
      </c>
      <c r="B12" s="347">
        <v>2</v>
      </c>
      <c r="C12" s="348" t="s">
        <v>249</v>
      </c>
      <c r="D12" s="349" t="s">
        <v>36</v>
      </c>
      <c r="E12" s="343" t="s">
        <v>36</v>
      </c>
      <c r="F12" s="349">
        <v>1100</v>
      </c>
      <c r="G12" s="343">
        <f t="shared" si="6"/>
        <v>2200</v>
      </c>
      <c r="H12" s="349" t="s">
        <v>36</v>
      </c>
      <c r="I12" s="343" t="s">
        <v>36</v>
      </c>
      <c r="J12" s="349" t="s">
        <v>36</v>
      </c>
      <c r="K12" s="343" t="s">
        <v>36</v>
      </c>
      <c r="L12" s="344">
        <f>((574.4+474.9)/2)*35.92</f>
        <v>18845.428</v>
      </c>
      <c r="M12" s="350">
        <f t="shared" si="9"/>
        <v>37690.856</v>
      </c>
      <c r="N12" s="351"/>
    </row>
    <row r="13" spans="1:14" s="346" customFormat="1" ht="32.25" thickBot="1" x14ac:dyDescent="0.3">
      <c r="A13" s="352">
        <v>10</v>
      </c>
      <c r="B13" s="353">
        <v>2</v>
      </c>
      <c r="C13" s="354" t="s">
        <v>250</v>
      </c>
      <c r="D13" s="355" t="s">
        <v>36</v>
      </c>
      <c r="E13" s="343" t="s">
        <v>36</v>
      </c>
      <c r="F13" s="355" t="s">
        <v>36</v>
      </c>
      <c r="G13" s="343" t="s">
        <v>36</v>
      </c>
      <c r="H13" s="355" t="s">
        <v>36</v>
      </c>
      <c r="I13" s="343" t="s">
        <v>36</v>
      </c>
      <c r="J13" s="355" t="s">
        <v>36</v>
      </c>
      <c r="K13" s="343" t="s">
        <v>36</v>
      </c>
      <c r="L13" s="344">
        <f>(21.9+25.16+28.34+17.8)*35.92</f>
        <v>3347.7440000000001</v>
      </c>
      <c r="M13" s="343">
        <f>+L13</f>
        <v>3347.7440000000001</v>
      </c>
      <c r="N13" s="345"/>
    </row>
    <row r="14" spans="1:14" x14ac:dyDescent="0.25">
      <c r="A14" s="1094" t="s">
        <v>4</v>
      </c>
      <c r="B14" s="1095"/>
      <c r="C14" s="1352"/>
      <c r="D14" s="1349">
        <f>SUM(E4:E13)</f>
        <v>20950</v>
      </c>
      <c r="E14" s="1188"/>
      <c r="F14" s="1349">
        <f>SUM(G4:G13)</f>
        <v>18900</v>
      </c>
      <c r="G14" s="1188"/>
      <c r="H14" s="1349">
        <f>SUM(I4:I13)</f>
        <v>16080</v>
      </c>
      <c r="I14" s="1188"/>
      <c r="J14" s="1349">
        <f>SUM(K4:K13)</f>
        <v>11282.39</v>
      </c>
      <c r="K14" s="1188"/>
      <c r="L14" s="1353">
        <f>SUM(M4:M13)</f>
        <v>99590.35520000002</v>
      </c>
      <c r="M14" s="1188"/>
    </row>
    <row r="15" spans="1:14" x14ac:dyDescent="0.25">
      <c r="A15" s="1096" t="s">
        <v>5</v>
      </c>
      <c r="B15" s="1097"/>
      <c r="C15" s="1354"/>
      <c r="D15" s="1344">
        <v>5237.5</v>
      </c>
      <c r="E15" s="1177"/>
      <c r="F15" s="1344">
        <v>0</v>
      </c>
      <c r="G15" s="1177"/>
      <c r="H15" s="1344">
        <v>0</v>
      </c>
      <c r="I15" s="1177"/>
      <c r="J15" s="1344">
        <v>0</v>
      </c>
      <c r="K15" s="1177"/>
      <c r="L15" s="1355">
        <v>0.2</v>
      </c>
      <c r="M15" s="1198"/>
    </row>
    <row r="16" spans="1:14" x14ac:dyDescent="0.25">
      <c r="A16" s="1096" t="s">
        <v>2</v>
      </c>
      <c r="B16" s="1097"/>
      <c r="C16" s="1354"/>
      <c r="D16" s="1344">
        <f>(D14-D15)*15%</f>
        <v>2356.875</v>
      </c>
      <c r="E16" s="1177"/>
      <c r="F16" s="1344">
        <v>0</v>
      </c>
      <c r="G16" s="1177"/>
      <c r="H16" s="1344">
        <v>0</v>
      </c>
      <c r="I16" s="1177"/>
      <c r="J16" s="1344">
        <f>+J14*0.15</f>
        <v>1692.3584999999998</v>
      </c>
      <c r="K16" s="1177"/>
      <c r="L16" s="1356">
        <f>(L14)*15%</f>
        <v>14938.553280000002</v>
      </c>
      <c r="M16" s="1177"/>
    </row>
    <row r="17" spans="1:13" ht="16.5" thickBot="1" x14ac:dyDescent="0.3">
      <c r="A17" s="1098" t="s">
        <v>3</v>
      </c>
      <c r="B17" s="1099"/>
      <c r="C17" s="1348"/>
      <c r="D17" s="1347">
        <f>(D14-D15)+D16</f>
        <v>18069.375</v>
      </c>
      <c r="E17" s="1346"/>
      <c r="F17" s="1347">
        <f>(F14-F15)+F16</f>
        <v>18900</v>
      </c>
      <c r="G17" s="1346"/>
      <c r="H17" s="1347">
        <f>(H14-H15)+H16</f>
        <v>16080</v>
      </c>
      <c r="I17" s="1346"/>
      <c r="J17" s="1347">
        <f>(J14-J15)+J16</f>
        <v>12974.7485</v>
      </c>
      <c r="K17" s="1346"/>
      <c r="L17" s="1345">
        <f>(L14)+L16</f>
        <v>114528.90848000003</v>
      </c>
      <c r="M17" s="1346"/>
    </row>
    <row r="19" spans="1:13" x14ac:dyDescent="0.25">
      <c r="D19" s="34" t="s">
        <v>255</v>
      </c>
      <c r="E19" s="40"/>
      <c r="F19" s="40" t="s">
        <v>255</v>
      </c>
      <c r="G19" s="40"/>
      <c r="H19" s="40" t="s">
        <v>256</v>
      </c>
      <c r="I19" s="40"/>
      <c r="J19" s="40" t="s">
        <v>255</v>
      </c>
      <c r="K19" s="40"/>
      <c r="L19" s="34" t="s">
        <v>256</v>
      </c>
      <c r="M19" s="40"/>
    </row>
    <row r="21" spans="1:13" ht="30.75" customHeight="1" x14ac:dyDescent="0.25">
      <c r="F21" s="1351" t="s">
        <v>266</v>
      </c>
      <c r="G21" s="1351"/>
    </row>
  </sheetData>
  <mergeCells count="32">
    <mergeCell ref="F21:G21"/>
    <mergeCell ref="A14:C14"/>
    <mergeCell ref="D14:E14"/>
    <mergeCell ref="F14:G14"/>
    <mergeCell ref="L14:M14"/>
    <mergeCell ref="A15:C15"/>
    <mergeCell ref="D15:E15"/>
    <mergeCell ref="F15:G15"/>
    <mergeCell ref="L15:M15"/>
    <mergeCell ref="A16:C16"/>
    <mergeCell ref="D16:E16"/>
    <mergeCell ref="F16:G16"/>
    <mergeCell ref="L16:M16"/>
    <mergeCell ref="J15:K15"/>
    <mergeCell ref="J16:K16"/>
    <mergeCell ref="H15:I15"/>
    <mergeCell ref="J2:K2"/>
    <mergeCell ref="J14:K14"/>
    <mergeCell ref="H14:I14"/>
    <mergeCell ref="A1:M1"/>
    <mergeCell ref="A2:A3"/>
    <mergeCell ref="D2:E2"/>
    <mergeCell ref="F2:G2"/>
    <mergeCell ref="L2:M2"/>
    <mergeCell ref="H2:I2"/>
    <mergeCell ref="H16:I16"/>
    <mergeCell ref="L17:M17"/>
    <mergeCell ref="H17:I17"/>
    <mergeCell ref="J17:K17"/>
    <mergeCell ref="A17:C17"/>
    <mergeCell ref="D17:E17"/>
    <mergeCell ref="F17:G17"/>
  </mergeCells>
  <conditionalFormatting sqref="E9:E13">
    <cfRule type="expression" dxfId="461" priority="70">
      <formula>D9=""</formula>
    </cfRule>
  </conditionalFormatting>
  <conditionalFormatting sqref="M9:M13">
    <cfRule type="expression" dxfId="460" priority="66">
      <formula>L9=""</formula>
    </cfRule>
    <cfRule type="expression" dxfId="459" priority="67">
      <formula>L9=MIN($D9,$F9,$L9)</formula>
    </cfRule>
  </conditionalFormatting>
  <conditionalFormatting sqref="I9:I13">
    <cfRule type="expression" dxfId="458" priority="62">
      <formula>H9=""</formula>
    </cfRule>
    <cfRule type="expression" dxfId="457" priority="63">
      <formula>H9=MIN($D9,$F9,$L9)</formula>
    </cfRule>
  </conditionalFormatting>
  <conditionalFormatting sqref="E4:E13 G4:G11 I4:I13 K4:K13 M4:M13 G13">
    <cfRule type="expression" dxfId="456" priority="77">
      <formula>D4=MIN($D4,$F4,$H4,$J4,$L4)</formula>
    </cfRule>
  </conditionalFormatting>
  <conditionalFormatting sqref="I9:I13">
    <cfRule type="expression" dxfId="455" priority="55">
      <formula>H9=""</formula>
    </cfRule>
    <cfRule type="expression" dxfId="454" priority="56">
      <formula>H9=MIN($D9,$F9,$L9)</formula>
    </cfRule>
  </conditionalFormatting>
  <conditionalFormatting sqref="I9:I13">
    <cfRule type="expression" dxfId="453" priority="52">
      <formula>H9=""</formula>
    </cfRule>
    <cfRule type="expression" dxfId="452" priority="53">
      <formula>H9=MIN($D9,$F9,$L9)</formula>
    </cfRule>
  </conditionalFormatting>
  <conditionalFormatting sqref="M9:M13">
    <cfRule type="expression" dxfId="451" priority="48">
      <formula>L9=""</formula>
    </cfRule>
    <cfRule type="expression" dxfId="450" priority="49">
      <formula>L9=MIN($D9,$F9,$L9)</formula>
    </cfRule>
  </conditionalFormatting>
  <conditionalFormatting sqref="M9:M13">
    <cfRule type="expression" dxfId="449" priority="44">
      <formula>L9=""</formula>
    </cfRule>
    <cfRule type="expression" dxfId="448" priority="45">
      <formula>L9=MIN($D9,$F9,$L9)</formula>
    </cfRule>
  </conditionalFormatting>
  <conditionalFormatting sqref="M9:M13">
    <cfRule type="expression" dxfId="447" priority="41">
      <formula>L9=""</formula>
    </cfRule>
    <cfRule type="expression" dxfId="446" priority="42">
      <formula>L9=MIN($D9,$F9,$L9)</formula>
    </cfRule>
  </conditionalFormatting>
  <conditionalFormatting sqref="I9:I13">
    <cfRule type="expression" dxfId="445" priority="36">
      <formula>H9=""</formula>
    </cfRule>
    <cfRule type="expression" dxfId="444" priority="37">
      <formula>H9=MIN($D9,$F9,$L9)</formula>
    </cfRule>
  </conditionalFormatting>
  <conditionalFormatting sqref="I9:I13">
    <cfRule type="expression" dxfId="443" priority="33">
      <formula>H9=""</formula>
    </cfRule>
    <cfRule type="expression" dxfId="442" priority="34">
      <formula>H9=MIN($D9,$F9,$L9)</formula>
    </cfRule>
  </conditionalFormatting>
  <conditionalFormatting sqref="I9:I13">
    <cfRule type="expression" dxfId="441" priority="32">
      <formula>H9=""</formula>
    </cfRule>
  </conditionalFormatting>
  <conditionalFormatting sqref="M9:M13">
    <cfRule type="expression" dxfId="440" priority="28">
      <formula>L9=""</formula>
    </cfRule>
    <cfRule type="expression" dxfId="439" priority="29">
      <formula>L9=MIN($D9,$F9,$L9)</formula>
    </cfRule>
  </conditionalFormatting>
  <conditionalFormatting sqref="M9:M13">
    <cfRule type="expression" dxfId="438" priority="24">
      <formula>L9=""</formula>
    </cfRule>
    <cfRule type="expression" dxfId="437" priority="25">
      <formula>L9=MIN($D9,$F9,$L9)</formula>
    </cfRule>
  </conditionalFormatting>
  <conditionalFormatting sqref="M9:M13">
    <cfRule type="expression" dxfId="436" priority="21">
      <formula>L9=""</formula>
    </cfRule>
    <cfRule type="expression" dxfId="435" priority="22">
      <formula>L9=MIN($D9,$F9,$L9)</formula>
    </cfRule>
  </conditionalFormatting>
  <conditionalFormatting sqref="M9:M13">
    <cfRule type="expression" dxfId="434" priority="17">
      <formula>L9=""</formula>
    </cfRule>
    <cfRule type="expression" dxfId="433" priority="18">
      <formula>L9=MIN($D9,$F9,$L9)</formula>
    </cfRule>
  </conditionalFormatting>
  <conditionalFormatting sqref="M9:M13">
    <cfRule type="expression" dxfId="432" priority="14">
      <formula>L9=""</formula>
    </cfRule>
    <cfRule type="expression" dxfId="431" priority="15">
      <formula>L9=MIN($D9,$F9,$L9)</formula>
    </cfRule>
  </conditionalFormatting>
  <conditionalFormatting sqref="M9:M13">
    <cfRule type="expression" dxfId="430" priority="13">
      <formula>L9=""</formula>
    </cfRule>
  </conditionalFormatting>
  <conditionalFormatting sqref="K9:K13">
    <cfRule type="expression" dxfId="429" priority="10">
      <formula>J9=""</formula>
    </cfRule>
    <cfRule type="expression" dxfId="428" priority="11">
      <formula>J9=MIN($D9,$F9,$L9)</formula>
    </cfRule>
  </conditionalFormatting>
  <conditionalFormatting sqref="K4:K13">
    <cfRule type="expression" dxfId="427" priority="12">
      <formula>J4=MIN($D4,$F4,$H4,$L4)</formula>
    </cfRule>
  </conditionalFormatting>
  <conditionalFormatting sqref="K9:K13">
    <cfRule type="expression" dxfId="426" priority="8">
      <formula>J9=""</formula>
    </cfRule>
    <cfRule type="expression" dxfId="425" priority="9">
      <formula>J9=MIN($D9,$F9,$L9)</formula>
    </cfRule>
  </conditionalFormatting>
  <conditionalFormatting sqref="K9:K13">
    <cfRule type="expression" dxfId="424" priority="6">
      <formula>J9=""</formula>
    </cfRule>
    <cfRule type="expression" dxfId="423" priority="7">
      <formula>J9=MIN($D9,$F9,$L9)</formula>
    </cfRule>
  </conditionalFormatting>
  <conditionalFormatting sqref="K9:K13">
    <cfRule type="expression" dxfId="422" priority="4">
      <formula>J9=""</formula>
    </cfRule>
    <cfRule type="expression" dxfId="421" priority="5">
      <formula>J9=MIN($D9,$F9,$L9)</formula>
    </cfRule>
  </conditionalFormatting>
  <conditionalFormatting sqref="K9:K13">
    <cfRule type="expression" dxfId="420" priority="2">
      <formula>J9=""</formula>
    </cfRule>
    <cfRule type="expression" dxfId="419" priority="3">
      <formula>J9=MIN($D9,$F9,$L9)</formula>
    </cfRule>
  </conditionalFormatting>
  <conditionalFormatting sqref="K9:K13">
    <cfRule type="expression" dxfId="418" priority="1">
      <formula>J9=""</formula>
    </cfRule>
  </conditionalFormatting>
  <pageMargins left="0.25" right="0.25" top="0.75" bottom="0.75" header="0.3" footer="0.3"/>
  <pageSetup paperSize="5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04D99-256B-4D01-A484-58349DE94061}">
  <sheetPr codeName="Hoja27"/>
  <dimension ref="B2:H10"/>
  <sheetViews>
    <sheetView showGridLines="0" workbookViewId="0">
      <selection activeCell="D5" sqref="D5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6" width="14.140625" style="1" bestFit="1" customWidth="1"/>
    <col min="7" max="7" width="14.28515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2:8" ht="18" thickBot="1" x14ac:dyDescent="0.35"/>
    <row r="3" spans="2:8" s="2" customFormat="1" ht="18" thickBot="1" x14ac:dyDescent="0.35">
      <c r="B3" s="1211" t="s">
        <v>1</v>
      </c>
      <c r="C3" s="1212"/>
      <c r="D3" s="1212"/>
      <c r="E3" s="1213"/>
      <c r="F3" s="1213"/>
      <c r="G3" s="1214"/>
      <c r="H3" s="6"/>
    </row>
    <row r="4" spans="2:8" s="2" customFormat="1" ht="18" thickBot="1" x14ac:dyDescent="0.3">
      <c r="B4" s="1215" t="s">
        <v>6</v>
      </c>
      <c r="C4" s="29" t="s">
        <v>17</v>
      </c>
      <c r="D4" s="328" t="s">
        <v>278</v>
      </c>
      <c r="E4" s="32" t="s">
        <v>133</v>
      </c>
      <c r="F4" s="324" t="s">
        <v>132</v>
      </c>
      <c r="G4" s="324" t="s">
        <v>134</v>
      </c>
      <c r="H4" s="6"/>
    </row>
    <row r="5" spans="2:8" s="2" customFormat="1" ht="18" thickBot="1" x14ac:dyDescent="0.3">
      <c r="B5" s="1216"/>
      <c r="C5" s="33" t="s">
        <v>11</v>
      </c>
      <c r="D5" s="21" t="s">
        <v>0</v>
      </c>
      <c r="E5" s="325" t="s">
        <v>10</v>
      </c>
      <c r="F5" s="325" t="s">
        <v>10</v>
      </c>
      <c r="G5" s="32" t="s">
        <v>10</v>
      </c>
      <c r="H5" s="6"/>
    </row>
    <row r="6" spans="2:8" s="3" customFormat="1" ht="18" thickBot="1" x14ac:dyDescent="0.35">
      <c r="B6" s="266">
        <v>1</v>
      </c>
      <c r="C6" s="329">
        <v>1</v>
      </c>
      <c r="D6" s="330" t="s">
        <v>254</v>
      </c>
      <c r="E6" s="331">
        <f>99.99*35.89</f>
        <v>3588.6410999999998</v>
      </c>
      <c r="F6" s="318">
        <v>3736.28</v>
      </c>
      <c r="G6" s="319" t="s">
        <v>30</v>
      </c>
      <c r="H6" s="7"/>
    </row>
    <row r="7" spans="2:8" x14ac:dyDescent="0.3">
      <c r="B7" s="1357" t="s">
        <v>2</v>
      </c>
      <c r="C7" s="1358"/>
      <c r="D7" s="1358"/>
      <c r="E7" s="322">
        <f>+E6*0.15</f>
        <v>538.29616499999997</v>
      </c>
      <c r="F7" s="322">
        <f t="shared" ref="F7" si="0">+F6*0.15</f>
        <v>560.44200000000001</v>
      </c>
      <c r="G7" s="323" t="s">
        <v>36</v>
      </c>
    </row>
    <row r="8" spans="2:8" ht="18" thickBot="1" x14ac:dyDescent="0.35">
      <c r="B8" s="1202" t="s">
        <v>3</v>
      </c>
      <c r="C8" s="1203"/>
      <c r="D8" s="1203"/>
      <c r="E8" s="326">
        <f>+E6+E7</f>
        <v>4126.9372649999996</v>
      </c>
      <c r="F8" s="326">
        <f t="shared" ref="F8" si="1">+F6+F7</f>
        <v>4296.7219999999998</v>
      </c>
      <c r="G8" s="327" t="s">
        <v>36</v>
      </c>
    </row>
    <row r="10" spans="2:8" x14ac:dyDescent="0.3">
      <c r="E10" s="4"/>
      <c r="F10" s="4"/>
      <c r="G10" s="4"/>
    </row>
  </sheetData>
  <mergeCells count="4">
    <mergeCell ref="B8:D8"/>
    <mergeCell ref="B7:D7"/>
    <mergeCell ref="B3:G3"/>
    <mergeCell ref="B4:B5"/>
  </mergeCells>
  <conditionalFormatting sqref="E6:G6">
    <cfRule type="expression" dxfId="417" priority="97">
      <formula>#REF!=""</formula>
    </cfRule>
    <cfRule type="expression" dxfId="416" priority="98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E224-5D0D-4382-8F70-260A02D4D742}">
  <sheetPr codeName="Hoja28"/>
  <dimension ref="B2:K18"/>
  <sheetViews>
    <sheetView showGridLines="0" workbookViewId="0">
      <selection activeCell="B3" sqref="B3:J3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1.7109375" style="2" bestFit="1" customWidth="1"/>
    <col min="5" max="5" width="14.140625" style="2" bestFit="1" customWidth="1"/>
    <col min="6" max="6" width="15.42578125" style="2" bestFit="1" customWidth="1"/>
    <col min="7" max="7" width="14.140625" style="2" bestFit="1" customWidth="1"/>
    <col min="8" max="8" width="15.42578125" style="2" bestFit="1" customWidth="1"/>
    <col min="9" max="10" width="14.140625" style="2" bestFit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1" ht="18" thickBot="1" x14ac:dyDescent="0.3">
      <c r="B4" s="1215" t="s">
        <v>6</v>
      </c>
      <c r="C4" s="29" t="s">
        <v>17</v>
      </c>
      <c r="D4" s="30" t="s">
        <v>257</v>
      </c>
      <c r="E4" s="1252" t="s">
        <v>127</v>
      </c>
      <c r="F4" s="1251"/>
      <c r="G4" s="1248" t="s">
        <v>69</v>
      </c>
      <c r="H4" s="1251"/>
      <c r="I4" s="1248" t="s">
        <v>265</v>
      </c>
      <c r="J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332" t="s">
        <v>10</v>
      </c>
      <c r="G5" s="31" t="s">
        <v>14</v>
      </c>
      <c r="H5" s="332" t="s">
        <v>10</v>
      </c>
      <c r="I5" s="31" t="s">
        <v>14</v>
      </c>
      <c r="J5" s="32" t="s">
        <v>10</v>
      </c>
    </row>
    <row r="6" spans="2:11" s="157" customFormat="1" x14ac:dyDescent="0.25">
      <c r="B6" s="19">
        <v>1</v>
      </c>
      <c r="C6" s="158">
        <v>4</v>
      </c>
      <c r="D6" s="159" t="s">
        <v>258</v>
      </c>
      <c r="E6" s="160">
        <f>80.74*TC!C3</f>
        <v>2881.9981519999997</v>
      </c>
      <c r="F6" s="161">
        <f>+E6*$C6</f>
        <v>11527.992607999999</v>
      </c>
      <c r="G6" s="160">
        <f>135*TC!C3</f>
        <v>4818.7979999999998</v>
      </c>
      <c r="H6" s="161">
        <f>+G6*$C6</f>
        <v>19275.191999999999</v>
      </c>
      <c r="I6" s="160">
        <v>1480</v>
      </c>
      <c r="J6" s="162">
        <f>+I6*$C6</f>
        <v>5920</v>
      </c>
      <c r="K6" s="163"/>
    </row>
    <row r="7" spans="2:11" s="157" customFormat="1" x14ac:dyDescent="0.25">
      <c r="B7" s="20">
        <v>2</v>
      </c>
      <c r="C7" s="169">
        <v>2</v>
      </c>
      <c r="D7" s="170" t="s">
        <v>259</v>
      </c>
      <c r="E7" s="171">
        <f>8.7*TC!C3</f>
        <v>310.54476</v>
      </c>
      <c r="F7" s="161">
        <f t="shared" ref="F7:F11" si="0">+E7*$C7</f>
        <v>621.08951999999999</v>
      </c>
      <c r="G7" s="171">
        <f>15.5*TC!C3</f>
        <v>553.26940000000002</v>
      </c>
      <c r="H7" s="161">
        <f t="shared" ref="H7:H12" si="1">+G7*$C7</f>
        <v>1106.5388</v>
      </c>
      <c r="I7" s="171" t="s">
        <v>36</v>
      </c>
      <c r="J7" s="162" t="s">
        <v>36</v>
      </c>
      <c r="K7" s="163"/>
    </row>
    <row r="8" spans="2:11" s="157" customFormat="1" x14ac:dyDescent="0.25">
      <c r="B8" s="20">
        <v>3</v>
      </c>
      <c r="C8" s="169">
        <v>4</v>
      </c>
      <c r="D8" s="170" t="s">
        <v>260</v>
      </c>
      <c r="E8" s="171">
        <f>7*TC!C3</f>
        <v>249.86360000000002</v>
      </c>
      <c r="F8" s="161">
        <f t="shared" si="0"/>
        <v>999.45440000000008</v>
      </c>
      <c r="G8" s="171">
        <f>9.5*TC!C3</f>
        <v>339.10059999999999</v>
      </c>
      <c r="H8" s="161">
        <f t="shared" si="1"/>
        <v>1356.4023999999999</v>
      </c>
      <c r="I8" s="171">
        <v>260</v>
      </c>
      <c r="J8" s="162">
        <f t="shared" ref="J8:J12" si="2">+I8*$C8</f>
        <v>1040</v>
      </c>
      <c r="K8" s="163"/>
    </row>
    <row r="9" spans="2:11" s="157" customFormat="1" x14ac:dyDescent="0.25">
      <c r="B9" s="20">
        <v>4</v>
      </c>
      <c r="C9" s="169">
        <v>2</v>
      </c>
      <c r="D9" s="170" t="s">
        <v>261</v>
      </c>
      <c r="E9" s="171">
        <f>20.8*TC!C3</f>
        <v>742.45184000000006</v>
      </c>
      <c r="F9" s="161">
        <f t="shared" si="0"/>
        <v>1484.9036800000001</v>
      </c>
      <c r="G9" s="171">
        <f>32*TC!C3</f>
        <v>1142.2336</v>
      </c>
      <c r="H9" s="161">
        <f t="shared" si="1"/>
        <v>2284.4672</v>
      </c>
      <c r="I9" s="171">
        <v>760</v>
      </c>
      <c r="J9" s="162">
        <f t="shared" si="2"/>
        <v>1520</v>
      </c>
      <c r="K9" s="163"/>
    </row>
    <row r="10" spans="2:11" s="157" customFormat="1" x14ac:dyDescent="0.25">
      <c r="B10" s="19">
        <v>5</v>
      </c>
      <c r="C10" s="321">
        <v>6</v>
      </c>
      <c r="D10" s="333" t="s">
        <v>262</v>
      </c>
      <c r="E10" s="334">
        <f>8.88*TC!C3</f>
        <v>316.96982400000002</v>
      </c>
      <c r="F10" s="161">
        <f t="shared" si="0"/>
        <v>1901.8189440000001</v>
      </c>
      <c r="G10" s="334">
        <f>12*TC!C3</f>
        <v>428.33760000000001</v>
      </c>
      <c r="H10" s="161">
        <f t="shared" si="1"/>
        <v>2570.0255999999999</v>
      </c>
      <c r="I10" s="334">
        <v>195</v>
      </c>
      <c r="J10" s="162">
        <f t="shared" si="2"/>
        <v>1170</v>
      </c>
      <c r="K10" s="163"/>
    </row>
    <row r="11" spans="2:11" s="157" customFormat="1" x14ac:dyDescent="0.25">
      <c r="B11" s="20">
        <v>6</v>
      </c>
      <c r="C11" s="321">
        <v>8</v>
      </c>
      <c r="D11" s="333" t="s">
        <v>263</v>
      </c>
      <c r="E11" s="334">
        <f>9.93*TC!C3</f>
        <v>354.449364</v>
      </c>
      <c r="F11" s="161">
        <f t="shared" si="0"/>
        <v>2835.594912</v>
      </c>
      <c r="G11" s="334">
        <f>18*TC!C3</f>
        <v>642.50639999999999</v>
      </c>
      <c r="H11" s="161">
        <f t="shared" si="1"/>
        <v>5140.0511999999999</v>
      </c>
      <c r="I11" s="334">
        <v>230</v>
      </c>
      <c r="J11" s="162">
        <f t="shared" si="2"/>
        <v>1840</v>
      </c>
      <c r="K11" s="163"/>
    </row>
    <row r="12" spans="2:11" s="157" customFormat="1" ht="18" thickBot="1" x14ac:dyDescent="0.3">
      <c r="B12" s="20">
        <v>7</v>
      </c>
      <c r="C12" s="321">
        <v>2</v>
      </c>
      <c r="D12" s="333" t="s">
        <v>264</v>
      </c>
      <c r="E12" s="335">
        <f>11*TC!C3</f>
        <v>392.64280000000002</v>
      </c>
      <c r="F12" s="161">
        <f>+E12*$C12</f>
        <v>785.28560000000004</v>
      </c>
      <c r="G12" s="335">
        <f>22*TC!C3</f>
        <v>785.28560000000004</v>
      </c>
      <c r="H12" s="161">
        <f t="shared" si="1"/>
        <v>1570.5712000000001</v>
      </c>
      <c r="I12" s="335">
        <v>265</v>
      </c>
      <c r="J12" s="162">
        <f t="shared" si="2"/>
        <v>530</v>
      </c>
      <c r="K12" s="163"/>
    </row>
    <row r="13" spans="2:11" x14ac:dyDescent="0.25">
      <c r="B13" s="1217" t="s">
        <v>4</v>
      </c>
      <c r="C13" s="1218"/>
      <c r="D13" s="1219"/>
      <c r="E13" s="1245">
        <f>SUM(F6:F12)</f>
        <v>20156.139663999998</v>
      </c>
      <c r="F13" s="1246"/>
      <c r="G13" s="1245">
        <f>SUM(H6:H12)</f>
        <v>33303.248399999997</v>
      </c>
      <c r="H13" s="1246"/>
      <c r="I13" s="1245">
        <f>SUM(J6:J12)</f>
        <v>12020</v>
      </c>
      <c r="J13" s="1247"/>
    </row>
    <row r="14" spans="2:11" x14ac:dyDescent="0.25">
      <c r="B14" s="1205" t="s">
        <v>5</v>
      </c>
      <c r="C14" s="1206"/>
      <c r="D14" s="1207"/>
      <c r="E14" s="1242">
        <v>0</v>
      </c>
      <c r="F14" s="1243"/>
      <c r="G14" s="1242">
        <v>0</v>
      </c>
      <c r="H14" s="1243"/>
      <c r="I14" s="1242">
        <v>0</v>
      </c>
      <c r="J14" s="1244"/>
    </row>
    <row r="15" spans="2:11" x14ac:dyDescent="0.25">
      <c r="B15" s="1205" t="s">
        <v>2</v>
      </c>
      <c r="C15" s="1206"/>
      <c r="D15" s="1207"/>
      <c r="E15" s="1242">
        <f>(E13-E14)*15%</f>
        <v>3023.4209495999999</v>
      </c>
      <c r="F15" s="1243"/>
      <c r="G15" s="1242">
        <f>(G13-G14)*15%</f>
        <v>4995.487259999999</v>
      </c>
      <c r="H15" s="1243"/>
      <c r="I15" s="1242">
        <f>(I13-I14)*15%</f>
        <v>1803</v>
      </c>
      <c r="J15" s="1244"/>
    </row>
    <row r="16" spans="2:11" ht="18" thickBot="1" x14ac:dyDescent="0.3">
      <c r="B16" s="1236" t="s">
        <v>3</v>
      </c>
      <c r="C16" s="1237"/>
      <c r="D16" s="1238"/>
      <c r="E16" s="1239">
        <f>(E13-E14)+E15</f>
        <v>23179.560613599999</v>
      </c>
      <c r="F16" s="1240"/>
      <c r="G16" s="1239">
        <f>(G13-G14)+G15</f>
        <v>38298.735659999998</v>
      </c>
      <c r="H16" s="1240"/>
      <c r="I16" s="1239">
        <f>(I13-I14)+I15</f>
        <v>13823</v>
      </c>
      <c r="J16" s="1241"/>
    </row>
    <row r="18" spans="6:10" x14ac:dyDescent="0.25">
      <c r="F18" s="164"/>
      <c r="G18" s="164"/>
      <c r="H18" s="164"/>
      <c r="J18" s="164"/>
    </row>
  </sheetData>
  <mergeCells count="21">
    <mergeCell ref="B13:D13"/>
    <mergeCell ref="E13:F13"/>
    <mergeCell ref="G13:H13"/>
    <mergeCell ref="I13:J13"/>
    <mergeCell ref="B3:J3"/>
    <mergeCell ref="B4:B5"/>
    <mergeCell ref="E4:F4"/>
    <mergeCell ref="G4:H4"/>
    <mergeCell ref="I4:J4"/>
    <mergeCell ref="B16:D16"/>
    <mergeCell ref="E16:F16"/>
    <mergeCell ref="G16:H16"/>
    <mergeCell ref="I16:J16"/>
    <mergeCell ref="B14:D14"/>
    <mergeCell ref="E14:F14"/>
    <mergeCell ref="G14:H14"/>
    <mergeCell ref="I14:J14"/>
    <mergeCell ref="B15:D15"/>
    <mergeCell ref="E15:F15"/>
    <mergeCell ref="G15:H15"/>
    <mergeCell ref="I15:J15"/>
  </mergeCells>
  <conditionalFormatting sqref="F6:F12">
    <cfRule type="expression" dxfId="415" priority="5">
      <formula>E6=""</formula>
    </cfRule>
    <cfRule type="expression" dxfId="414" priority="6">
      <formula>E6=MIN($E6,$G6,$I6)</formula>
    </cfRule>
  </conditionalFormatting>
  <conditionalFormatting sqref="H6:H12">
    <cfRule type="expression" dxfId="413" priority="3">
      <formula>G6=""</formula>
    </cfRule>
    <cfRule type="expression" dxfId="412" priority="4">
      <formula>G6=MIN($E6,$G6,$I6)</formula>
    </cfRule>
  </conditionalFormatting>
  <conditionalFormatting sqref="J6:J12">
    <cfRule type="expression" dxfId="411" priority="1">
      <formula>I6=""</formula>
    </cfRule>
    <cfRule type="expression" dxfId="410" priority="2">
      <formula>I6=MIN($E6,$G6,$I6)</formula>
    </cfRule>
  </conditionalFormatting>
  <pageMargins left="0.25" right="0.25" top="0.75" bottom="0.75" header="0.3" footer="0.3"/>
  <pageSetup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51F80D-2385-4275-A906-784AD6982A91}">
  <sheetPr codeName="Hoja29"/>
  <dimension ref="A1:J12"/>
  <sheetViews>
    <sheetView showGridLines="0" workbookViewId="0">
      <selection activeCell="F2" sqref="F2:G2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6.28515625" style="367" bestFit="1" customWidth="1"/>
    <col min="4" max="4" width="10.140625" style="367" bestFit="1" customWidth="1"/>
    <col min="5" max="5" width="12.7109375" style="367" bestFit="1" customWidth="1"/>
    <col min="6" max="6" width="10.140625" style="367" bestFit="1" customWidth="1"/>
    <col min="7" max="7" width="12.7109375" style="367" bestFit="1" customWidth="1"/>
    <col min="8" max="8" width="10.140625" style="367" bestFit="1" customWidth="1"/>
    <col min="9" max="9" width="12.7109375" style="367" bestFit="1" customWidth="1"/>
    <col min="10" max="10" width="13.42578125" style="366" bestFit="1" customWidth="1"/>
    <col min="11" max="11" width="13.42578125" style="367" bestFit="1" customWidth="1"/>
    <col min="12" max="16384" width="11.42578125" style="367"/>
  </cols>
  <sheetData>
    <row r="1" spans="1:10" s="53" customFormat="1" ht="15.75" thickBot="1" x14ac:dyDescent="0.3">
      <c r="A1" s="1359" t="s">
        <v>1</v>
      </c>
      <c r="B1" s="1360"/>
      <c r="C1" s="1360"/>
      <c r="D1" s="1361"/>
      <c r="E1" s="1361"/>
      <c r="F1" s="1361"/>
      <c r="G1" s="1361"/>
      <c r="H1" s="1361"/>
      <c r="I1" s="1362"/>
      <c r="J1" s="54"/>
    </row>
    <row r="2" spans="1:10" s="53" customFormat="1" ht="15.75" thickBot="1" x14ac:dyDescent="0.3">
      <c r="A2" s="1129" t="s">
        <v>6</v>
      </c>
      <c r="B2" s="55" t="s">
        <v>17</v>
      </c>
      <c r="C2" s="56" t="s">
        <v>267</v>
      </c>
      <c r="D2" s="1131" t="s">
        <v>271</v>
      </c>
      <c r="E2" s="1116"/>
      <c r="F2" s="1115" t="s">
        <v>272</v>
      </c>
      <c r="G2" s="1116"/>
      <c r="H2" s="1115" t="s">
        <v>273</v>
      </c>
      <c r="I2" s="1116"/>
      <c r="J2" s="54"/>
    </row>
    <row r="3" spans="1:10" s="53" customFormat="1" ht="15.75" thickBot="1" x14ac:dyDescent="0.3">
      <c r="A3" s="1130"/>
      <c r="B3" s="57" t="s">
        <v>11</v>
      </c>
      <c r="C3" s="58" t="s">
        <v>0</v>
      </c>
      <c r="D3" s="59" t="s">
        <v>14</v>
      </c>
      <c r="E3" s="336" t="s">
        <v>10</v>
      </c>
      <c r="F3" s="59" t="s">
        <v>14</v>
      </c>
      <c r="G3" s="336" t="s">
        <v>10</v>
      </c>
      <c r="H3" s="59" t="s">
        <v>14</v>
      </c>
      <c r="I3" s="61" t="s">
        <v>10</v>
      </c>
      <c r="J3" s="54"/>
    </row>
    <row r="4" spans="1:10" s="362" customFormat="1" x14ac:dyDescent="0.25">
      <c r="A4" s="62">
        <v>1</v>
      </c>
      <c r="B4" s="356">
        <v>72</v>
      </c>
      <c r="C4" s="357" t="s">
        <v>268</v>
      </c>
      <c r="D4" s="358" t="s">
        <v>36</v>
      </c>
      <c r="E4" s="359" t="s">
        <v>36</v>
      </c>
      <c r="F4" s="358">
        <v>169.06</v>
      </c>
      <c r="G4" s="359">
        <f>+F4*$B4</f>
        <v>12172.32</v>
      </c>
      <c r="H4" s="358">
        <v>172.53</v>
      </c>
      <c r="I4" s="360">
        <f>+H4*$B4</f>
        <v>12422.16</v>
      </c>
      <c r="J4" s="361"/>
    </row>
    <row r="5" spans="1:10" s="362" customFormat="1" x14ac:dyDescent="0.25">
      <c r="A5" s="70">
        <v>2</v>
      </c>
      <c r="B5" s="363">
        <v>36</v>
      </c>
      <c r="C5" s="364" t="s">
        <v>269</v>
      </c>
      <c r="D5" s="365" t="s">
        <v>36</v>
      </c>
      <c r="E5" s="359" t="s">
        <v>36</v>
      </c>
      <c r="F5" s="365">
        <v>63.65</v>
      </c>
      <c r="G5" s="359">
        <f t="shared" ref="G5:G6" si="0">+F5*$B5</f>
        <v>2291.4</v>
      </c>
      <c r="H5" s="365">
        <v>73.819999999999993</v>
      </c>
      <c r="I5" s="360">
        <f t="shared" ref="I5:I6" si="1">+H5*$B5</f>
        <v>2657.5199999999995</v>
      </c>
      <c r="J5" s="361"/>
    </row>
    <row r="6" spans="1:10" s="362" customFormat="1" ht="15.75" thickBot="1" x14ac:dyDescent="0.3">
      <c r="A6" s="70">
        <v>3</v>
      </c>
      <c r="B6" s="363">
        <v>100</v>
      </c>
      <c r="C6" s="364" t="s">
        <v>270</v>
      </c>
      <c r="D6" s="365">
        <v>575</v>
      </c>
      <c r="E6" s="359">
        <f t="shared" ref="E6" si="2">+D6*$B6</f>
        <v>57500</v>
      </c>
      <c r="F6" s="365">
        <v>520</v>
      </c>
      <c r="G6" s="359">
        <f t="shared" si="0"/>
        <v>52000</v>
      </c>
      <c r="H6" s="365">
        <v>495</v>
      </c>
      <c r="I6" s="360">
        <f t="shared" si="1"/>
        <v>49500</v>
      </c>
      <c r="J6" s="361"/>
    </row>
    <row r="7" spans="1:10" x14ac:dyDescent="0.25">
      <c r="A7" s="1132" t="s">
        <v>4</v>
      </c>
      <c r="B7" s="1133"/>
      <c r="C7" s="1134"/>
      <c r="D7" s="1117">
        <f>SUM(E4:E6)</f>
        <v>57500</v>
      </c>
      <c r="E7" s="1118"/>
      <c r="F7" s="1117">
        <f>SUM(G4:G6)</f>
        <v>66463.72</v>
      </c>
      <c r="G7" s="1118"/>
      <c r="H7" s="1117">
        <f>SUM(I4:I6)</f>
        <v>64579.68</v>
      </c>
      <c r="I7" s="1135"/>
    </row>
    <row r="8" spans="1:10" x14ac:dyDescent="0.25">
      <c r="A8" s="1123" t="s">
        <v>5</v>
      </c>
      <c r="B8" s="1124"/>
      <c r="C8" s="1125"/>
      <c r="D8" s="1119">
        <v>0</v>
      </c>
      <c r="E8" s="1120"/>
      <c r="F8" s="1119">
        <v>0</v>
      </c>
      <c r="G8" s="1120"/>
      <c r="H8" s="1119">
        <v>0</v>
      </c>
      <c r="I8" s="1126"/>
    </row>
    <row r="9" spans="1:10" x14ac:dyDescent="0.25">
      <c r="A9" s="1369" t="s">
        <v>2</v>
      </c>
      <c r="B9" s="1370"/>
      <c r="C9" s="1371"/>
      <c r="D9" s="1119">
        <v>0</v>
      </c>
      <c r="E9" s="1120"/>
      <c r="F9" s="1119">
        <f>(F7-F8)*15%</f>
        <v>9969.5579999999991</v>
      </c>
      <c r="G9" s="1120"/>
      <c r="H9" s="1119">
        <f>(H7-H8)*15%</f>
        <v>9686.9519999999993</v>
      </c>
      <c r="I9" s="1126"/>
    </row>
    <row r="10" spans="1:10" ht="15.75" thickBot="1" x14ac:dyDescent="0.3">
      <c r="A10" s="1363" t="s">
        <v>3</v>
      </c>
      <c r="B10" s="1364"/>
      <c r="C10" s="1365"/>
      <c r="D10" s="1366">
        <f>(D7-D8)+D9</f>
        <v>57500</v>
      </c>
      <c r="E10" s="1367"/>
      <c r="F10" s="1366">
        <f>(F7-F8)+F9</f>
        <v>76433.278000000006</v>
      </c>
      <c r="G10" s="1367"/>
      <c r="H10" s="1366">
        <f>(H7-H8)+H9</f>
        <v>74266.631999999998</v>
      </c>
      <c r="I10" s="1368"/>
    </row>
    <row r="12" spans="1:10" x14ac:dyDescent="0.25">
      <c r="E12" s="368"/>
      <c r="F12" s="368"/>
      <c r="G12" s="368"/>
      <c r="I12" s="368"/>
    </row>
  </sheetData>
  <mergeCells count="21">
    <mergeCell ref="A10:C10"/>
    <mergeCell ref="D10:E10"/>
    <mergeCell ref="F10:G10"/>
    <mergeCell ref="H10:I10"/>
    <mergeCell ref="A8:C8"/>
    <mergeCell ref="D8:E8"/>
    <mergeCell ref="F8:G8"/>
    <mergeCell ref="H8:I8"/>
    <mergeCell ref="A9:C9"/>
    <mergeCell ref="D9:E9"/>
    <mergeCell ref="F9:G9"/>
    <mergeCell ref="H9:I9"/>
    <mergeCell ref="A7:C7"/>
    <mergeCell ref="D7:E7"/>
    <mergeCell ref="F7:G7"/>
    <mergeCell ref="H7:I7"/>
    <mergeCell ref="A1:I1"/>
    <mergeCell ref="A2:A3"/>
    <mergeCell ref="D2:E2"/>
    <mergeCell ref="F2:G2"/>
    <mergeCell ref="H2:I2"/>
  </mergeCells>
  <conditionalFormatting sqref="E4:E6 G4:G6 I4:I6">
    <cfRule type="expression" dxfId="409" priority="5">
      <formula>D4=""</formula>
    </cfRule>
    <cfRule type="expression" dxfId="408" priority="6">
      <formula>D4=MIN($D4,$F4,$H4)</formula>
    </cfRule>
  </conditionalFormatting>
  <pageMargins left="0.25" right="0.25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A0730-CA2E-4ACD-9179-ECF46B9EDEF3}">
  <sheetPr codeName="Hoja3"/>
  <dimension ref="B2:M14"/>
  <sheetViews>
    <sheetView showGridLines="0" workbookViewId="0">
      <selection activeCell="B3" sqref="B3:L3"/>
    </sheetView>
  </sheetViews>
  <sheetFormatPr baseColWidth="10" defaultRowHeight="15" x14ac:dyDescent="0.25"/>
  <cols>
    <col min="1" max="1" width="2.7109375" style="53" bestFit="1" customWidth="1"/>
    <col min="2" max="2" width="2.85546875" style="53" bestFit="1" customWidth="1"/>
    <col min="3" max="3" width="5.85546875" style="53" bestFit="1" customWidth="1"/>
    <col min="4" max="4" width="16.42578125" style="53" bestFit="1" customWidth="1"/>
    <col min="5" max="5" width="11.7109375" style="53" bestFit="1" customWidth="1"/>
    <col min="6" max="6" width="12.7109375" style="53" bestFit="1" customWidth="1"/>
    <col min="7" max="7" width="11.7109375" style="53" bestFit="1" customWidth="1"/>
    <col min="8" max="8" width="12.7109375" style="53" bestFit="1" customWidth="1"/>
    <col min="9" max="9" width="11.7109375" style="53" bestFit="1" customWidth="1"/>
    <col min="10" max="10" width="12.7109375" style="53" bestFit="1" customWidth="1"/>
    <col min="11" max="11" width="11.7109375" style="53" bestFit="1" customWidth="1"/>
    <col min="12" max="12" width="12.7109375" style="53" bestFit="1" customWidth="1"/>
    <col min="13" max="13" width="13.42578125" style="54" bestFit="1" customWidth="1"/>
    <col min="14" max="14" width="13.42578125" style="53" bestFit="1" customWidth="1"/>
    <col min="15" max="16384" width="11.42578125" style="53"/>
  </cols>
  <sheetData>
    <row r="2" spans="2:13" ht="15.75" thickBot="1" x14ac:dyDescent="0.3"/>
    <row r="3" spans="2:13" ht="15.75" thickBot="1" x14ac:dyDescent="0.3">
      <c r="B3" s="1115" t="s">
        <v>1</v>
      </c>
      <c r="C3" s="1127"/>
      <c r="D3" s="1127"/>
      <c r="E3" s="1128"/>
      <c r="F3" s="1128"/>
      <c r="G3" s="1128"/>
      <c r="H3" s="1128"/>
      <c r="I3" s="1128"/>
      <c r="J3" s="1128"/>
      <c r="K3" s="1128"/>
      <c r="L3" s="1116"/>
    </row>
    <row r="4" spans="2:13" ht="15.75" thickBot="1" x14ac:dyDescent="0.3">
      <c r="B4" s="1129" t="s">
        <v>6</v>
      </c>
      <c r="C4" s="55" t="s">
        <v>17</v>
      </c>
      <c r="D4" s="56" t="s">
        <v>32</v>
      </c>
      <c r="E4" s="1131" t="s">
        <v>34</v>
      </c>
      <c r="F4" s="1116"/>
      <c r="G4" s="1115" t="s">
        <v>35</v>
      </c>
      <c r="H4" s="1116"/>
      <c r="I4" s="1115" t="s">
        <v>37</v>
      </c>
      <c r="J4" s="1116"/>
      <c r="K4" s="1115" t="s">
        <v>38</v>
      </c>
      <c r="L4" s="1116"/>
    </row>
    <row r="5" spans="2:13" ht="15.75" thickBot="1" x14ac:dyDescent="0.3">
      <c r="B5" s="1130"/>
      <c r="C5" s="57" t="s">
        <v>11</v>
      </c>
      <c r="D5" s="58" t="s">
        <v>0</v>
      </c>
      <c r="E5" s="59" t="s">
        <v>14</v>
      </c>
      <c r="F5" s="60" t="s">
        <v>10</v>
      </c>
      <c r="G5" s="59" t="s">
        <v>14</v>
      </c>
      <c r="H5" s="60" t="s">
        <v>10</v>
      </c>
      <c r="I5" s="59" t="s">
        <v>14</v>
      </c>
      <c r="J5" s="61" t="s">
        <v>10</v>
      </c>
      <c r="K5" s="59" t="s">
        <v>14</v>
      </c>
      <c r="L5" s="61" t="s">
        <v>10</v>
      </c>
    </row>
    <row r="6" spans="2:13" s="69" customFormat="1" ht="30" x14ac:dyDescent="0.25">
      <c r="B6" s="62" t="s">
        <v>41</v>
      </c>
      <c r="C6" s="63">
        <v>15</v>
      </c>
      <c r="D6" s="64" t="s">
        <v>33</v>
      </c>
      <c r="E6" s="65">
        <v>1199.95</v>
      </c>
      <c r="F6" s="66">
        <f>+E6*$C$6</f>
        <v>17999.25</v>
      </c>
      <c r="G6" s="65">
        <v>1100</v>
      </c>
      <c r="H6" s="66">
        <f>+G6*C6</f>
        <v>16500</v>
      </c>
      <c r="I6" s="65">
        <v>1320</v>
      </c>
      <c r="J6" s="66">
        <f>+I6*C6</f>
        <v>19800</v>
      </c>
      <c r="K6" s="65">
        <v>1537.76</v>
      </c>
      <c r="L6" s="67">
        <f>+K6*C6</f>
        <v>23066.400000000001</v>
      </c>
      <c r="M6" s="68"/>
    </row>
    <row r="7" spans="2:13" s="69" customFormat="1" ht="29.25" customHeight="1" x14ac:dyDescent="0.25">
      <c r="B7" s="70" t="s">
        <v>39</v>
      </c>
      <c r="C7" s="1121" t="s">
        <v>42</v>
      </c>
      <c r="D7" s="1122"/>
      <c r="E7" s="71">
        <v>599.95000000000005</v>
      </c>
      <c r="F7" s="66">
        <f t="shared" ref="F7:F8" si="0">+E7*$C$6</f>
        <v>8999.25</v>
      </c>
      <c r="G7" s="71" t="s">
        <v>36</v>
      </c>
      <c r="H7" s="66" t="s">
        <v>36</v>
      </c>
      <c r="I7" s="71" t="s">
        <v>36</v>
      </c>
      <c r="J7" s="66" t="s">
        <v>36</v>
      </c>
      <c r="K7" s="71" t="s">
        <v>36</v>
      </c>
      <c r="L7" s="67" t="s">
        <v>36</v>
      </c>
      <c r="M7" s="68"/>
    </row>
    <row r="8" spans="2:13" s="69" customFormat="1" ht="30.75" customHeight="1" thickBot="1" x14ac:dyDescent="0.3">
      <c r="B8" s="70" t="s">
        <v>40</v>
      </c>
      <c r="C8" s="1136" t="s">
        <v>43</v>
      </c>
      <c r="D8" s="1137"/>
      <c r="E8" s="71">
        <v>799.95</v>
      </c>
      <c r="F8" s="66">
        <f t="shared" si="0"/>
        <v>11999.25</v>
      </c>
      <c r="G8" s="71" t="s">
        <v>36</v>
      </c>
      <c r="H8" s="66" t="s">
        <v>36</v>
      </c>
      <c r="I8" s="71" t="s">
        <v>36</v>
      </c>
      <c r="J8" s="66" t="s">
        <v>36</v>
      </c>
      <c r="K8" s="71" t="s">
        <v>36</v>
      </c>
      <c r="L8" s="67" t="s">
        <v>36</v>
      </c>
      <c r="M8" s="68"/>
    </row>
    <row r="9" spans="2:13" x14ac:dyDescent="0.25">
      <c r="B9" s="1132" t="s">
        <v>4</v>
      </c>
      <c r="C9" s="1133"/>
      <c r="D9" s="1134"/>
      <c r="E9" s="1117">
        <f>SUM(F6:F8)</f>
        <v>38997.75</v>
      </c>
      <c r="F9" s="1118"/>
      <c r="G9" s="1117">
        <f>SUM(H6:H8)</f>
        <v>16500</v>
      </c>
      <c r="H9" s="1118"/>
      <c r="I9" s="1117">
        <f>SUM(J6:J8)</f>
        <v>19800</v>
      </c>
      <c r="J9" s="1118"/>
      <c r="K9" s="1117">
        <f>SUM(L6:L8)</f>
        <v>23066.400000000001</v>
      </c>
      <c r="L9" s="1135"/>
    </row>
    <row r="10" spans="2:13" x14ac:dyDescent="0.25">
      <c r="B10" s="1123" t="s">
        <v>5</v>
      </c>
      <c r="C10" s="1124"/>
      <c r="D10" s="1125"/>
      <c r="E10" s="1119">
        <v>0</v>
      </c>
      <c r="F10" s="1120"/>
      <c r="G10" s="1119">
        <v>0</v>
      </c>
      <c r="H10" s="1120"/>
      <c r="I10" s="1119">
        <v>0</v>
      </c>
      <c r="J10" s="1120"/>
      <c r="K10" s="1119">
        <v>0</v>
      </c>
      <c r="L10" s="1126"/>
    </row>
    <row r="11" spans="2:13" x14ac:dyDescent="0.25">
      <c r="B11" s="1123" t="s">
        <v>2</v>
      </c>
      <c r="C11" s="1124"/>
      <c r="D11" s="1125"/>
      <c r="E11" s="1119">
        <f>(E9-E10)*15%</f>
        <v>5849.6624999999995</v>
      </c>
      <c r="F11" s="1120"/>
      <c r="G11" s="1119">
        <f>(G9-G10)*15%</f>
        <v>2475</v>
      </c>
      <c r="H11" s="1120"/>
      <c r="I11" s="1119">
        <f>(I9-I10)*15%</f>
        <v>2970</v>
      </c>
      <c r="J11" s="1120"/>
      <c r="K11" s="1119">
        <f>(K9-K10)*15%</f>
        <v>3459.96</v>
      </c>
      <c r="L11" s="1126"/>
    </row>
    <row r="12" spans="2:13" ht="15.75" thickBot="1" x14ac:dyDescent="0.3">
      <c r="B12" s="1109" t="s">
        <v>3</v>
      </c>
      <c r="C12" s="1110"/>
      <c r="D12" s="1111"/>
      <c r="E12" s="1112">
        <f>(E9-E10)+E11</f>
        <v>44847.412499999999</v>
      </c>
      <c r="F12" s="1113"/>
      <c r="G12" s="1112">
        <f>(G9-G10)+G11</f>
        <v>18975</v>
      </c>
      <c r="H12" s="1113"/>
      <c r="I12" s="1112">
        <f>(I9-I10)+I11</f>
        <v>22770</v>
      </c>
      <c r="J12" s="1113"/>
      <c r="K12" s="1112">
        <f>(K9-K10)+K11</f>
        <v>26526.36</v>
      </c>
      <c r="L12" s="1114"/>
    </row>
    <row r="14" spans="2:13" x14ac:dyDescent="0.25">
      <c r="F14" s="72"/>
      <c r="G14" s="72"/>
      <c r="H14" s="72"/>
      <c r="J14" s="72"/>
      <c r="L14" s="72"/>
    </row>
  </sheetData>
  <mergeCells count="28">
    <mergeCell ref="G11:H11"/>
    <mergeCell ref="K11:L11"/>
    <mergeCell ref="B3:L3"/>
    <mergeCell ref="B4:B5"/>
    <mergeCell ref="E4:F4"/>
    <mergeCell ref="G4:H4"/>
    <mergeCell ref="K4:L4"/>
    <mergeCell ref="B9:D9"/>
    <mergeCell ref="E9:F9"/>
    <mergeCell ref="G9:H9"/>
    <mergeCell ref="K9:L9"/>
    <mergeCell ref="C8:D8"/>
    <mergeCell ref="B12:D12"/>
    <mergeCell ref="E12:F12"/>
    <mergeCell ref="G12:H12"/>
    <mergeCell ref="K12:L12"/>
    <mergeCell ref="I4:J4"/>
    <mergeCell ref="I9:J9"/>
    <mergeCell ref="I10:J10"/>
    <mergeCell ref="I11:J11"/>
    <mergeCell ref="I12:J12"/>
    <mergeCell ref="C7:D7"/>
    <mergeCell ref="B10:D10"/>
    <mergeCell ref="E10:F10"/>
    <mergeCell ref="G10:H10"/>
    <mergeCell ref="K10:L10"/>
    <mergeCell ref="B11:D11"/>
    <mergeCell ref="E11:F11"/>
  </mergeCells>
  <conditionalFormatting sqref="F6 H6:H8 L6:L8">
    <cfRule type="expression" dxfId="540" priority="11">
      <formula>E6=""</formula>
    </cfRule>
    <cfRule type="expression" dxfId="539" priority="12">
      <formula>E6=MIN($E6,$G6,$K6)</formula>
    </cfRule>
  </conditionalFormatting>
  <conditionalFormatting sqref="J7:J8">
    <cfRule type="expression" dxfId="538" priority="3">
      <formula>I7=""</formula>
    </cfRule>
    <cfRule type="expression" dxfId="537" priority="4">
      <formula>I7=MIN($E7,$G7,$K7)</formula>
    </cfRule>
  </conditionalFormatting>
  <conditionalFormatting sqref="J6">
    <cfRule type="expression" dxfId="536" priority="1">
      <formula>I6=""</formula>
    </cfRule>
    <cfRule type="expression" dxfId="535" priority="2">
      <formula>I6=MIN($E6,$G6,$K6)</formula>
    </cfRule>
  </conditionalFormatting>
  <pageMargins left="0.25" right="0.25" top="0.75" bottom="0.75" header="0.3" footer="0.3"/>
  <pageSetup orientation="landscape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7560B-83C4-4E06-9638-0F45F772CBF7}">
  <sheetPr codeName="Hoja30"/>
  <dimension ref="A3:N20"/>
  <sheetViews>
    <sheetView showGridLines="0" workbookViewId="0">
      <selection activeCell="J5" sqref="J5:K5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6.42578125" style="53" bestFit="1" customWidth="1"/>
    <col min="4" max="4" width="11.7109375" style="53" bestFit="1" customWidth="1"/>
    <col min="5" max="5" width="12.7109375" style="53" bestFit="1" customWidth="1"/>
    <col min="6" max="6" width="10.140625" style="53" bestFit="1" customWidth="1"/>
    <col min="7" max="7" width="12.7109375" style="53" bestFit="1" customWidth="1"/>
    <col min="8" max="10" width="11.7109375" style="53" bestFit="1" customWidth="1"/>
    <col min="11" max="11" width="12.7109375" style="53" bestFit="1" customWidth="1"/>
    <col min="12" max="12" width="13.42578125" style="54" bestFit="1" customWidth="1"/>
    <col min="13" max="13" width="13.42578125" style="53" bestFit="1" customWidth="1"/>
    <col min="14" max="16384" width="11.42578125" style="53"/>
  </cols>
  <sheetData>
    <row r="3" spans="1:14" ht="15.75" thickBot="1" x14ac:dyDescent="0.3"/>
    <row r="4" spans="1:14" ht="15.75" thickBot="1" x14ac:dyDescent="0.3">
      <c r="A4" s="1115" t="s">
        <v>1</v>
      </c>
      <c r="B4" s="1128"/>
      <c r="C4" s="1128"/>
      <c r="D4" s="1128"/>
      <c r="E4" s="1128"/>
      <c r="F4" s="1128"/>
      <c r="G4" s="1128"/>
      <c r="H4" s="1128"/>
      <c r="I4" s="1128"/>
      <c r="J4" s="1128"/>
      <c r="K4" s="1116"/>
    </row>
    <row r="5" spans="1:14" x14ac:dyDescent="0.25">
      <c r="A5" s="1380" t="s">
        <v>6</v>
      </c>
      <c r="B5" s="369" t="s">
        <v>17</v>
      </c>
      <c r="C5" s="370" t="s">
        <v>253</v>
      </c>
      <c r="D5" s="1382" t="s">
        <v>49</v>
      </c>
      <c r="E5" s="1382"/>
      <c r="F5" s="1382" t="s">
        <v>72</v>
      </c>
      <c r="G5" s="1382"/>
      <c r="H5" s="1382" t="s">
        <v>52</v>
      </c>
      <c r="I5" s="1382"/>
      <c r="J5" s="1382" t="s">
        <v>53</v>
      </c>
      <c r="K5" s="1383"/>
    </row>
    <row r="6" spans="1:14" ht="15.75" thickBot="1" x14ac:dyDescent="0.3">
      <c r="A6" s="1381"/>
      <c r="B6" s="371" t="s">
        <v>11</v>
      </c>
      <c r="C6" s="372" t="s">
        <v>0</v>
      </c>
      <c r="D6" s="372" t="s">
        <v>14</v>
      </c>
      <c r="E6" s="372" t="s">
        <v>10</v>
      </c>
      <c r="F6" s="372" t="s">
        <v>14</v>
      </c>
      <c r="G6" s="372" t="s">
        <v>10</v>
      </c>
      <c r="H6" s="372" t="s">
        <v>14</v>
      </c>
      <c r="I6" s="372" t="s">
        <v>10</v>
      </c>
      <c r="J6" s="372" t="s">
        <v>14</v>
      </c>
      <c r="K6" s="373" t="s">
        <v>10</v>
      </c>
    </row>
    <row r="7" spans="1:14" s="69" customFormat="1" x14ac:dyDescent="0.25">
      <c r="A7" s="62">
        <v>1</v>
      </c>
      <c r="B7" s="63">
        <v>110</v>
      </c>
      <c r="C7" s="64" t="s">
        <v>45</v>
      </c>
      <c r="D7" s="374">
        <f>14011.36/B7</f>
        <v>127.376</v>
      </c>
      <c r="E7" s="374">
        <f>+D7*B7</f>
        <v>14011.36</v>
      </c>
      <c r="F7" s="374">
        <v>155</v>
      </c>
      <c r="G7" s="374">
        <f>+F7*B7</f>
        <v>17050</v>
      </c>
      <c r="H7" s="374" t="s">
        <v>36</v>
      </c>
      <c r="I7" s="374" t="s">
        <v>36</v>
      </c>
      <c r="J7" s="374">
        <f>(426.6/B7)*35.92</f>
        <v>139.30429090909092</v>
      </c>
      <c r="K7" s="375">
        <f>+J7*B7</f>
        <v>15323.472000000002</v>
      </c>
      <c r="L7" s="68"/>
    </row>
    <row r="8" spans="1:14" s="69" customFormat="1" x14ac:dyDescent="0.25">
      <c r="A8" s="70">
        <v>2</v>
      </c>
      <c r="B8" s="192">
        <v>5</v>
      </c>
      <c r="C8" s="193" t="s">
        <v>46</v>
      </c>
      <c r="D8" s="376">
        <f>1262.72/B8</f>
        <v>252.54400000000001</v>
      </c>
      <c r="E8" s="376">
        <f>+D8*B8</f>
        <v>1262.72</v>
      </c>
      <c r="F8" s="376">
        <v>490</v>
      </c>
      <c r="G8" s="376">
        <f t="shared" ref="G8:G13" si="0">+F8*B8</f>
        <v>2450</v>
      </c>
      <c r="H8" s="376">
        <v>520</v>
      </c>
      <c r="I8" s="376">
        <f>+H8*B8</f>
        <v>2600</v>
      </c>
      <c r="J8" s="374">
        <f>(127.15/B8)*35.92</f>
        <v>913.44560000000001</v>
      </c>
      <c r="K8" s="377">
        <f>+J8*B8</f>
        <v>4567.2280000000001</v>
      </c>
      <c r="L8" s="68"/>
      <c r="M8" s="383"/>
    </row>
    <row r="9" spans="1:14" s="69" customFormat="1" x14ac:dyDescent="0.25">
      <c r="A9" s="70">
        <v>3</v>
      </c>
      <c r="B9" s="192">
        <v>5</v>
      </c>
      <c r="C9" s="193" t="s">
        <v>47</v>
      </c>
      <c r="D9" s="376">
        <f>4183/B9</f>
        <v>836.6</v>
      </c>
      <c r="E9" s="376">
        <f>+D9*B9</f>
        <v>4183</v>
      </c>
      <c r="F9" s="376">
        <v>880</v>
      </c>
      <c r="G9" s="376">
        <f t="shared" ref="G9" si="1">+F9*B9</f>
        <v>4400</v>
      </c>
      <c r="H9" s="376">
        <v>1520</v>
      </c>
      <c r="I9" s="376">
        <f>+H9*B9</f>
        <v>7600</v>
      </c>
      <c r="J9" s="374">
        <f>(499.4/11)*35.92</f>
        <v>1630.768</v>
      </c>
      <c r="K9" s="377">
        <f t="shared" ref="K9:K13" si="2">+J9*B9</f>
        <v>8153.84</v>
      </c>
      <c r="L9" s="68"/>
      <c r="M9" s="383"/>
    </row>
    <row r="10" spans="1:14" s="69" customFormat="1" x14ac:dyDescent="0.25">
      <c r="A10" s="378">
        <v>4</v>
      </c>
      <c r="B10" s="379">
        <v>5</v>
      </c>
      <c r="C10" s="380" t="s">
        <v>279</v>
      </c>
      <c r="D10" s="381">
        <f>2228.4/B10</f>
        <v>445.68</v>
      </c>
      <c r="E10" s="376">
        <f>+D10*B10</f>
        <v>2228.4</v>
      </c>
      <c r="F10" s="381" t="s">
        <v>36</v>
      </c>
      <c r="G10" s="376" t="s">
        <v>36</v>
      </c>
      <c r="H10" s="381">
        <v>370</v>
      </c>
      <c r="I10" s="376">
        <f>+H10*B10</f>
        <v>1850</v>
      </c>
      <c r="J10" s="374">
        <f>(88.25/B10)*35.92</f>
        <v>633.98799999999994</v>
      </c>
      <c r="K10" s="377">
        <f t="shared" si="2"/>
        <v>3169.9399999999996</v>
      </c>
      <c r="L10" s="382"/>
      <c r="M10" s="383"/>
      <c r="N10" s="415"/>
    </row>
    <row r="11" spans="1:14" s="69" customFormat="1" x14ac:dyDescent="0.25">
      <c r="A11" s="62">
        <v>5</v>
      </c>
      <c r="B11" s="192">
        <v>5</v>
      </c>
      <c r="C11" s="380" t="s">
        <v>280</v>
      </c>
      <c r="D11" s="376">
        <f>907.8/B11</f>
        <v>181.56</v>
      </c>
      <c r="E11" s="376">
        <f>+D11*B11</f>
        <v>907.8</v>
      </c>
      <c r="F11" s="376">
        <v>200</v>
      </c>
      <c r="G11" s="376">
        <f t="shared" si="0"/>
        <v>1000</v>
      </c>
      <c r="H11" s="376">
        <v>250</v>
      </c>
      <c r="I11" s="376">
        <f>+H11*B11</f>
        <v>1250</v>
      </c>
      <c r="J11" s="374">
        <f>(66.1/B11)*35.92</f>
        <v>474.86239999999998</v>
      </c>
      <c r="K11" s="377">
        <f t="shared" si="2"/>
        <v>2374.3119999999999</v>
      </c>
      <c r="L11" s="68"/>
      <c r="M11" s="383"/>
    </row>
    <row r="12" spans="1:14" s="69" customFormat="1" x14ac:dyDescent="0.25">
      <c r="A12" s="62">
        <v>6</v>
      </c>
      <c r="B12" s="379">
        <v>6</v>
      </c>
      <c r="C12" s="193" t="s">
        <v>46</v>
      </c>
      <c r="D12" s="381" t="s">
        <v>36</v>
      </c>
      <c r="E12" s="381" t="s">
        <v>36</v>
      </c>
      <c r="F12" s="381" t="s">
        <v>36</v>
      </c>
      <c r="G12" s="381" t="s">
        <v>36</v>
      </c>
      <c r="H12" s="381" t="s">
        <v>36</v>
      </c>
      <c r="I12" s="381" t="s">
        <v>36</v>
      </c>
      <c r="J12" s="374">
        <f>(151.2/B12)*35.92</f>
        <v>905.18399999999997</v>
      </c>
      <c r="K12" s="384">
        <f t="shared" si="2"/>
        <v>5431.1039999999994</v>
      </c>
      <c r="L12" s="68"/>
      <c r="M12" s="383"/>
    </row>
    <row r="13" spans="1:14" s="69" customFormat="1" ht="15.75" thickBot="1" x14ac:dyDescent="0.3">
      <c r="A13" s="70">
        <v>7</v>
      </c>
      <c r="B13" s="379">
        <v>6</v>
      </c>
      <c r="C13" s="193" t="s">
        <v>47</v>
      </c>
      <c r="D13" s="381">
        <f>5019.6/B13</f>
        <v>836.6</v>
      </c>
      <c r="E13" s="381">
        <f>+D13*B13</f>
        <v>5019.6000000000004</v>
      </c>
      <c r="F13" s="381">
        <v>880</v>
      </c>
      <c r="G13" s="381">
        <f t="shared" si="0"/>
        <v>5280</v>
      </c>
      <c r="H13" s="381" t="s">
        <v>36</v>
      </c>
      <c r="I13" s="381" t="s">
        <v>36</v>
      </c>
      <c r="J13" s="374">
        <f>(499.4/11)*35.92</f>
        <v>1630.768</v>
      </c>
      <c r="K13" s="384">
        <f t="shared" si="2"/>
        <v>9784.6080000000002</v>
      </c>
      <c r="L13" s="68"/>
      <c r="M13" s="383"/>
    </row>
    <row r="14" spans="1:14" x14ac:dyDescent="0.25">
      <c r="A14" s="1132" t="s">
        <v>4</v>
      </c>
      <c r="B14" s="1133"/>
      <c r="C14" s="1133"/>
      <c r="D14" s="1378">
        <f>SUM(E7:E13)</f>
        <v>27612.880000000005</v>
      </c>
      <c r="E14" s="1378"/>
      <c r="F14" s="1378">
        <f>SUM(G7:G13)</f>
        <v>30180</v>
      </c>
      <c r="G14" s="1378"/>
      <c r="H14" s="1378">
        <f>SUM(I7:I13)</f>
        <v>13300</v>
      </c>
      <c r="I14" s="1378"/>
      <c r="J14" s="1378">
        <f>SUM(K7:K13)</f>
        <v>48804.504000000001</v>
      </c>
      <c r="K14" s="1379"/>
    </row>
    <row r="15" spans="1:14" x14ac:dyDescent="0.25">
      <c r="A15" s="1123" t="s">
        <v>5</v>
      </c>
      <c r="B15" s="1124"/>
      <c r="C15" s="1124"/>
      <c r="D15" s="1374">
        <v>0</v>
      </c>
      <c r="E15" s="1374"/>
      <c r="F15" s="1374">
        <v>0</v>
      </c>
      <c r="G15" s="1374"/>
      <c r="H15" s="1374">
        <f>+H14*0.25</f>
        <v>3325</v>
      </c>
      <c r="I15" s="1374"/>
      <c r="J15" s="1376" t="s">
        <v>281</v>
      </c>
      <c r="K15" s="1377"/>
    </row>
    <row r="16" spans="1:14" x14ac:dyDescent="0.25">
      <c r="A16" s="1123" t="s">
        <v>2</v>
      </c>
      <c r="B16" s="1124"/>
      <c r="C16" s="1124"/>
      <c r="D16" s="1374">
        <f>(D14-D15)*15%</f>
        <v>4141.9320000000007</v>
      </c>
      <c r="E16" s="1374"/>
      <c r="F16" s="1374">
        <v>0</v>
      </c>
      <c r="G16" s="1374"/>
      <c r="H16" s="1374">
        <f>(H14-H15)*15%</f>
        <v>1496.25</v>
      </c>
      <c r="I16" s="1374"/>
      <c r="J16" s="1374">
        <f>J14*15%</f>
        <v>7320.6755999999996</v>
      </c>
      <c r="K16" s="1375"/>
    </row>
    <row r="17" spans="1:11" ht="15.75" thickBot="1" x14ac:dyDescent="0.3">
      <c r="A17" s="1109" t="s">
        <v>3</v>
      </c>
      <c r="B17" s="1110"/>
      <c r="C17" s="1110"/>
      <c r="D17" s="1372">
        <f>(D14-D15)+D16</f>
        <v>31754.812000000005</v>
      </c>
      <c r="E17" s="1372"/>
      <c r="F17" s="1372">
        <f>(F14-F15)+F16</f>
        <v>30180</v>
      </c>
      <c r="G17" s="1372"/>
      <c r="H17" s="1372">
        <f>(H14-H15)+H16</f>
        <v>11471.25</v>
      </c>
      <c r="I17" s="1372"/>
      <c r="J17" s="1372">
        <f>J14+J16</f>
        <v>56125.179600000003</v>
      </c>
      <c r="K17" s="1373"/>
    </row>
    <row r="19" spans="1:11" x14ac:dyDescent="0.25">
      <c r="I19" s="413"/>
    </row>
    <row r="20" spans="1:11" x14ac:dyDescent="0.25">
      <c r="I20" s="414"/>
    </row>
  </sheetData>
  <mergeCells count="26">
    <mergeCell ref="A4:K4"/>
    <mergeCell ref="A5:A6"/>
    <mergeCell ref="D5:E5"/>
    <mergeCell ref="F5:G5"/>
    <mergeCell ref="H5:I5"/>
    <mergeCell ref="J5:K5"/>
    <mergeCell ref="A14:C14"/>
    <mergeCell ref="D14:E14"/>
    <mergeCell ref="F14:G14"/>
    <mergeCell ref="H14:I14"/>
    <mergeCell ref="J14:K14"/>
    <mergeCell ref="A15:C15"/>
    <mergeCell ref="D15:E15"/>
    <mergeCell ref="F15:G15"/>
    <mergeCell ref="H15:I15"/>
    <mergeCell ref="J15:K15"/>
    <mergeCell ref="A16:C16"/>
    <mergeCell ref="D16:E16"/>
    <mergeCell ref="F16:G16"/>
    <mergeCell ref="H16:I16"/>
    <mergeCell ref="J16:K16"/>
    <mergeCell ref="A17:C17"/>
    <mergeCell ref="D17:E17"/>
    <mergeCell ref="F17:G17"/>
    <mergeCell ref="H17:I17"/>
    <mergeCell ref="J17:K17"/>
  </mergeCells>
  <conditionalFormatting sqref="E7:E8 E11:E13 G7:G8 G11:G13 I7:I8 I11:I13 K7:K13">
    <cfRule type="expression" dxfId="407" priority="120">
      <formula>D7=""</formula>
    </cfRule>
  </conditionalFormatting>
  <conditionalFormatting sqref="E9:E10 G9:G10 I9:I10">
    <cfRule type="expression" dxfId="406" priority="10">
      <formula>D9=""</formula>
    </cfRule>
  </conditionalFormatting>
  <conditionalFormatting sqref="E7:E13 G7:G13 I7:I13 K7:K13">
    <cfRule type="expression" dxfId="405" priority="121">
      <formula>D7=MIN($D7,$F7,$H7,$J7)</formula>
    </cfRule>
  </conditionalFormatting>
  <conditionalFormatting sqref="K9:K10">
    <cfRule type="expression" dxfId="404" priority="8">
      <formula>J9=""</formula>
    </cfRule>
    <cfRule type="expression" dxfId="403" priority="9">
      <formula>J9=MIN($D9,$F9,$J9)</formula>
    </cfRule>
  </conditionalFormatting>
  <conditionalFormatting sqref="K9:K10">
    <cfRule type="expression" dxfId="402" priority="7">
      <formula>J9=""</formula>
    </cfRule>
  </conditionalFormatting>
  <pageMargins left="0.25" right="0.25" top="0.75" bottom="0.75" header="0.3" footer="0.3"/>
  <pageSetup orientation="landscape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DD23B5-A662-43A8-8464-38916C765DA2}">
  <sheetPr codeName="Hoja31"/>
  <dimension ref="A2:I13"/>
  <sheetViews>
    <sheetView showGridLines="0" workbookViewId="0">
      <selection activeCell="D4" sqref="D4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18.28515625" style="108" bestFit="1" customWidth="1"/>
    <col min="4" max="4" width="14" style="108" bestFit="1" customWidth="1"/>
    <col min="5" max="8" width="13.42578125" style="108" bestFit="1" customWidth="1"/>
    <col min="9" max="9" width="13.42578125" style="109" bestFit="1" customWidth="1"/>
    <col min="10" max="10" width="13.42578125" style="108" bestFit="1" customWidth="1"/>
    <col min="11" max="16384" width="11.42578125" style="108"/>
  </cols>
  <sheetData>
    <row r="2" spans="1:9" ht="16.5" thickBot="1" x14ac:dyDescent="0.3"/>
    <row r="3" spans="1:9" s="34" customFormat="1" ht="16.5" thickBot="1" x14ac:dyDescent="0.3">
      <c r="A3" s="1178" t="s">
        <v>1</v>
      </c>
      <c r="B3" s="1180"/>
      <c r="C3" s="1180"/>
      <c r="D3" s="1180"/>
      <c r="E3" s="1180"/>
      <c r="F3" s="1180"/>
      <c r="G3" s="1180"/>
      <c r="H3" s="1181"/>
      <c r="I3" s="35"/>
    </row>
    <row r="4" spans="1:9" s="34" customFormat="1" x14ac:dyDescent="0.25">
      <c r="A4" s="1384" t="s">
        <v>6</v>
      </c>
      <c r="B4" s="43" t="s">
        <v>17</v>
      </c>
      <c r="C4" s="388" t="s">
        <v>274</v>
      </c>
      <c r="D4" s="389" t="s">
        <v>53</v>
      </c>
      <c r="E4" s="390" t="s">
        <v>52</v>
      </c>
      <c r="F4" s="390" t="s">
        <v>49</v>
      </c>
      <c r="G4" s="390" t="s">
        <v>72</v>
      </c>
      <c r="H4" s="391" t="s">
        <v>49</v>
      </c>
      <c r="I4" s="35"/>
    </row>
    <row r="5" spans="1:9" s="34" customFormat="1" ht="16.5" thickBot="1" x14ac:dyDescent="0.3">
      <c r="A5" s="1385"/>
      <c r="B5" s="392" t="s">
        <v>11</v>
      </c>
      <c r="C5" s="393" t="s">
        <v>0</v>
      </c>
      <c r="D5" s="394" t="s">
        <v>10</v>
      </c>
      <c r="E5" s="45" t="s">
        <v>10</v>
      </c>
      <c r="F5" s="45" t="s">
        <v>10</v>
      </c>
      <c r="G5" s="45" t="s">
        <v>10</v>
      </c>
      <c r="H5" s="393" t="s">
        <v>10</v>
      </c>
      <c r="I5" s="35"/>
    </row>
    <row r="6" spans="1:9" s="124" customFormat="1" x14ac:dyDescent="0.25">
      <c r="A6" s="395">
        <v>1</v>
      </c>
      <c r="B6" s="396">
        <v>1</v>
      </c>
      <c r="C6" s="397" t="s">
        <v>275</v>
      </c>
      <c r="D6" s="398">
        <f>955.67*35.92</f>
        <v>34327.666400000002</v>
      </c>
      <c r="E6" s="399" t="s">
        <v>277</v>
      </c>
      <c r="F6" s="399" t="s">
        <v>277</v>
      </c>
      <c r="G6" s="399" t="s">
        <v>277</v>
      </c>
      <c r="H6" s="400" t="s">
        <v>277</v>
      </c>
      <c r="I6" s="123"/>
    </row>
    <row r="7" spans="1:9" s="124" customFormat="1" ht="16.5" thickBot="1" x14ac:dyDescent="0.3">
      <c r="A7" s="401">
        <v>2</v>
      </c>
      <c r="B7" s="402">
        <v>1</v>
      </c>
      <c r="C7" s="403" t="s">
        <v>276</v>
      </c>
      <c r="D7" s="404">
        <f>107.06*35.92</f>
        <v>3845.5952000000002</v>
      </c>
      <c r="E7" s="405">
        <v>1125.3800000000001</v>
      </c>
      <c r="F7" s="406">
        <v>955.33</v>
      </c>
      <c r="G7" s="405" t="s">
        <v>277</v>
      </c>
      <c r="H7" s="407" t="s">
        <v>277</v>
      </c>
      <c r="I7" s="123"/>
    </row>
    <row r="8" spans="1:9" x14ac:dyDescent="0.25">
      <c r="A8" s="1094" t="s">
        <v>4</v>
      </c>
      <c r="B8" s="1095"/>
      <c r="C8" s="1352"/>
      <c r="D8" s="385">
        <f>SUM(D6:D7)</f>
        <v>38173.261600000005</v>
      </c>
      <c r="E8" s="36">
        <f t="shared" ref="E8" si="0">SUM(E6:E7)</f>
        <v>1125.3800000000001</v>
      </c>
      <c r="F8" s="36">
        <f t="shared" ref="F8" si="1">SUM(F6:F7)</f>
        <v>955.33</v>
      </c>
      <c r="G8" s="36" t="s">
        <v>36</v>
      </c>
      <c r="H8" s="37" t="s">
        <v>36</v>
      </c>
    </row>
    <row r="9" spans="1:9" x14ac:dyDescent="0.25">
      <c r="A9" s="1096" t="s">
        <v>5</v>
      </c>
      <c r="B9" s="1097"/>
      <c r="C9" s="1354"/>
      <c r="D9" s="408">
        <v>0.2</v>
      </c>
      <c r="E9" s="38">
        <v>281.35000000000002</v>
      </c>
      <c r="F9" s="409" t="s">
        <v>36</v>
      </c>
      <c r="G9" s="409" t="s">
        <v>36</v>
      </c>
      <c r="H9" s="410" t="s">
        <v>36</v>
      </c>
    </row>
    <row r="10" spans="1:9" x14ac:dyDescent="0.25">
      <c r="A10" s="1199" t="s">
        <v>2</v>
      </c>
      <c r="B10" s="1200"/>
      <c r="C10" s="1387"/>
      <c r="D10" s="387">
        <f>+D8*0.15</f>
        <v>5725.9892400000008</v>
      </c>
      <c r="E10" s="38">
        <f t="shared" ref="E10" si="2">+E8*0.15</f>
        <v>168.80700000000002</v>
      </c>
      <c r="F10" s="38">
        <f t="shared" ref="F10" si="3">+F8*0.15</f>
        <v>143.29949999999999</v>
      </c>
      <c r="G10" s="38" t="s">
        <v>36</v>
      </c>
      <c r="H10" s="39" t="s">
        <v>36</v>
      </c>
    </row>
    <row r="11" spans="1:9" ht="16.5" thickBot="1" x14ac:dyDescent="0.3">
      <c r="A11" s="1189" t="s">
        <v>3</v>
      </c>
      <c r="B11" s="1190"/>
      <c r="C11" s="1386"/>
      <c r="D11" s="386">
        <f>+D8+D10</f>
        <v>43899.250840000008</v>
      </c>
      <c r="E11" s="411">
        <f t="shared" ref="E11" si="4">+E8+E10</f>
        <v>1294.1870000000001</v>
      </c>
      <c r="F11" s="411">
        <f t="shared" ref="F11" si="5">+F8+F10</f>
        <v>1098.6295</v>
      </c>
      <c r="G11" s="411" t="s">
        <v>36</v>
      </c>
      <c r="H11" s="412" t="s">
        <v>36</v>
      </c>
    </row>
    <row r="13" spans="1:9" x14ac:dyDescent="0.25">
      <c r="D13" s="129"/>
      <c r="E13" s="129"/>
      <c r="F13" s="129"/>
      <c r="G13" s="129"/>
      <c r="H13" s="129"/>
    </row>
  </sheetData>
  <mergeCells count="6">
    <mergeCell ref="A3:H3"/>
    <mergeCell ref="A4:A5"/>
    <mergeCell ref="A11:C11"/>
    <mergeCell ref="A9:C9"/>
    <mergeCell ref="A10:C10"/>
    <mergeCell ref="A8:C8"/>
  </mergeCells>
  <conditionalFormatting sqref="D6:E7">
    <cfRule type="expression" dxfId="401" priority="115">
      <formula>#REF!=""</formula>
    </cfRule>
    <cfRule type="expression" dxfId="400" priority="116">
      <formula>#REF!=MIN(#REF!,#REF!,#REF!)</formula>
    </cfRule>
  </conditionalFormatting>
  <conditionalFormatting sqref="G6:G7">
    <cfRule type="expression" dxfId="399" priority="7">
      <formula>#REF!=""</formula>
    </cfRule>
    <cfRule type="expression" dxfId="398" priority="8">
      <formula>#REF!=MIN(#REF!,#REF!,#REF!)</formula>
    </cfRule>
  </conditionalFormatting>
  <conditionalFormatting sqref="F6:F7">
    <cfRule type="expression" dxfId="397" priority="5">
      <formula>#REF!=""</formula>
    </cfRule>
    <cfRule type="expression" dxfId="396" priority="6">
      <formula>#REF!=MIN(#REF!,#REF!,#REF!)</formula>
    </cfRule>
  </conditionalFormatting>
  <conditionalFormatting sqref="H6:H7">
    <cfRule type="expression" dxfId="395" priority="1">
      <formula>#REF!=""</formula>
    </cfRule>
    <cfRule type="expression" dxfId="394" priority="2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A5290-A3DA-4103-80B3-BCA5EC5AA943}">
  <sheetPr codeName="Hoja32"/>
  <dimension ref="A2:H12"/>
  <sheetViews>
    <sheetView showGridLines="0" workbookViewId="0">
      <selection activeCell="D4" sqref="D4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18.28515625" style="108" bestFit="1" customWidth="1"/>
    <col min="4" max="5" width="14" style="108" bestFit="1" customWidth="1"/>
    <col min="6" max="6" width="13" style="108" bestFit="1" customWidth="1"/>
    <col min="7" max="7" width="13.42578125" style="109" bestFit="1" customWidth="1"/>
    <col min="8" max="8" width="13.42578125" style="108" bestFit="1" customWidth="1"/>
    <col min="9" max="16384" width="11.42578125" style="108"/>
  </cols>
  <sheetData>
    <row r="2" spans="1:8" ht="16.5" thickBot="1" x14ac:dyDescent="0.3"/>
    <row r="3" spans="1:8" s="34" customFormat="1" ht="16.5" thickBot="1" x14ac:dyDescent="0.3">
      <c r="A3" s="1178" t="s">
        <v>1</v>
      </c>
      <c r="B3" s="1180"/>
      <c r="C3" s="1180"/>
      <c r="D3" s="1180"/>
      <c r="E3" s="1180"/>
      <c r="F3" s="1181"/>
      <c r="G3" s="35"/>
    </row>
    <row r="4" spans="1:8" s="34" customFormat="1" x14ac:dyDescent="0.25">
      <c r="A4" s="1384" t="s">
        <v>6</v>
      </c>
      <c r="B4" s="43" t="s">
        <v>17</v>
      </c>
      <c r="C4" s="388" t="s">
        <v>274</v>
      </c>
      <c r="D4" s="389" t="s">
        <v>53</v>
      </c>
      <c r="E4" s="390" t="s">
        <v>284</v>
      </c>
      <c r="F4" s="391" t="s">
        <v>285</v>
      </c>
      <c r="G4" s="35"/>
    </row>
    <row r="5" spans="1:8" s="34" customFormat="1" ht="16.5" thickBot="1" x14ac:dyDescent="0.3">
      <c r="A5" s="1385"/>
      <c r="B5" s="392" t="s">
        <v>11</v>
      </c>
      <c r="C5" s="393" t="s">
        <v>0</v>
      </c>
      <c r="D5" s="394" t="s">
        <v>10</v>
      </c>
      <c r="E5" s="45" t="s">
        <v>10</v>
      </c>
      <c r="F5" s="393" t="s">
        <v>10</v>
      </c>
      <c r="G5" s="35"/>
    </row>
    <row r="6" spans="1:8" s="124" customFormat="1" ht="16.5" thickBot="1" x14ac:dyDescent="0.3">
      <c r="A6" s="395">
        <v>1</v>
      </c>
      <c r="B6" s="396">
        <v>1</v>
      </c>
      <c r="C6" s="397" t="s">
        <v>275</v>
      </c>
      <c r="D6" s="121">
        <f>955.67*35.92</f>
        <v>34327.666400000002</v>
      </c>
      <c r="E6" s="399">
        <f>(367.2)*TC!C3</f>
        <v>13107.13056</v>
      </c>
      <c r="F6" s="400">
        <v>6334.78</v>
      </c>
      <c r="G6" s="123"/>
    </row>
    <row r="7" spans="1:8" x14ac:dyDescent="0.25">
      <c r="A7" s="1094" t="s">
        <v>4</v>
      </c>
      <c r="B7" s="1095"/>
      <c r="C7" s="1352"/>
      <c r="D7" s="418">
        <f>SUM(D6:D6)</f>
        <v>34327.666400000002</v>
      </c>
      <c r="E7" s="36">
        <f>SUM(E6:E6)</f>
        <v>13107.13056</v>
      </c>
      <c r="F7" s="37">
        <f>SUM(F6:F6)</f>
        <v>6334.78</v>
      </c>
      <c r="H7" s="129"/>
    </row>
    <row r="8" spans="1:8" x14ac:dyDescent="0.25">
      <c r="A8" s="1096" t="s">
        <v>5</v>
      </c>
      <c r="B8" s="1097"/>
      <c r="C8" s="1354"/>
      <c r="D8" s="408">
        <v>0.2</v>
      </c>
      <c r="E8" s="38">
        <v>0</v>
      </c>
      <c r="F8" s="39">
        <v>0</v>
      </c>
    </row>
    <row r="9" spans="1:8" x14ac:dyDescent="0.25">
      <c r="A9" s="1199" t="s">
        <v>2</v>
      </c>
      <c r="B9" s="1200"/>
      <c r="C9" s="1387"/>
      <c r="D9" s="417">
        <f>+D7*0.15</f>
        <v>5149.1499599999997</v>
      </c>
      <c r="E9" s="38">
        <f>+E7*0.15</f>
        <v>1966.0695839999998</v>
      </c>
      <c r="F9" s="39">
        <f t="shared" ref="F9" si="0">+F7*0.15</f>
        <v>950.21699999999987</v>
      </c>
      <c r="H9" s="419"/>
    </row>
    <row r="10" spans="1:8" ht="16.5" thickBot="1" x14ac:dyDescent="0.3">
      <c r="A10" s="1189" t="s">
        <v>3</v>
      </c>
      <c r="B10" s="1190"/>
      <c r="C10" s="1386"/>
      <c r="D10" s="416">
        <f>+D7+D9</f>
        <v>39476.816360000004</v>
      </c>
      <c r="E10" s="411">
        <f>+E7+E9</f>
        <v>15073.200143999999</v>
      </c>
      <c r="F10" s="412">
        <f t="shared" ref="F10" si="1">+F7+F9</f>
        <v>7284.9969999999994</v>
      </c>
    </row>
    <row r="12" spans="1:8" x14ac:dyDescent="0.25">
      <c r="D12" s="129"/>
      <c r="E12" s="129"/>
      <c r="F12" s="129"/>
    </row>
  </sheetData>
  <mergeCells count="6">
    <mergeCell ref="A10:C10"/>
    <mergeCell ref="A3:F3"/>
    <mergeCell ref="A4:A5"/>
    <mergeCell ref="A7:C7"/>
    <mergeCell ref="A8:C8"/>
    <mergeCell ref="A9:C9"/>
  </mergeCells>
  <conditionalFormatting sqref="D6:E6">
    <cfRule type="expression" dxfId="393" priority="7">
      <formula>#REF!=""</formula>
    </cfRule>
    <cfRule type="expression" dxfId="392" priority="8">
      <formula>#REF!=MIN(#REF!,#REF!,#REF!)</formula>
    </cfRule>
  </conditionalFormatting>
  <conditionalFormatting sqref="F6">
    <cfRule type="expression" dxfId="391" priority="3">
      <formula>#REF!=""</formula>
    </cfRule>
    <cfRule type="expression" dxfId="390" priority="4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ECEEE-340C-42C4-BFEE-E6C87B99FF4F}">
  <sheetPr codeName="Hoja33"/>
  <dimension ref="A2:J16"/>
  <sheetViews>
    <sheetView showGridLines="0" workbookViewId="0">
      <selection activeCell="H4" sqref="H4:I4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6.42578125" style="53" bestFit="1" customWidth="1"/>
    <col min="4" max="4" width="11.7109375" style="53" bestFit="1" customWidth="1"/>
    <col min="5" max="5" width="12.7109375" style="53" bestFit="1" customWidth="1"/>
    <col min="6" max="8" width="11.7109375" style="53" bestFit="1" customWidth="1"/>
    <col min="9" max="9" width="12.7109375" style="53" bestFit="1" customWidth="1"/>
    <col min="10" max="10" width="13.42578125" style="54" bestFit="1" customWidth="1"/>
    <col min="11" max="11" width="13.42578125" style="53" bestFit="1" customWidth="1"/>
    <col min="12" max="16384" width="11.42578125" style="53"/>
  </cols>
  <sheetData>
    <row r="2" spans="1:9" ht="15.75" thickBot="1" x14ac:dyDescent="0.3"/>
    <row r="3" spans="1:9" ht="15.75" thickBot="1" x14ac:dyDescent="0.3">
      <c r="A3" s="1115" t="s">
        <v>1</v>
      </c>
      <c r="B3" s="1128"/>
      <c r="C3" s="1128"/>
      <c r="D3" s="1128"/>
      <c r="E3" s="1128"/>
      <c r="F3" s="1128"/>
      <c r="G3" s="1128"/>
      <c r="H3" s="1128"/>
      <c r="I3" s="1116"/>
    </row>
    <row r="4" spans="1:9" x14ac:dyDescent="0.25">
      <c r="A4" s="1380" t="s">
        <v>6</v>
      </c>
      <c r="B4" s="369" t="s">
        <v>17</v>
      </c>
      <c r="C4" s="370" t="s">
        <v>283</v>
      </c>
      <c r="D4" s="1382" t="s">
        <v>49</v>
      </c>
      <c r="E4" s="1382"/>
      <c r="F4" s="1382" t="s">
        <v>52</v>
      </c>
      <c r="G4" s="1382"/>
      <c r="H4" s="1382" t="s">
        <v>53</v>
      </c>
      <c r="I4" s="1383"/>
    </row>
    <row r="5" spans="1:9" ht="15.75" thickBot="1" x14ac:dyDescent="0.3">
      <c r="A5" s="1381"/>
      <c r="B5" s="371" t="s">
        <v>11</v>
      </c>
      <c r="C5" s="372" t="s">
        <v>0</v>
      </c>
      <c r="D5" s="372" t="s">
        <v>14</v>
      </c>
      <c r="E5" s="372" t="s">
        <v>10</v>
      </c>
      <c r="F5" s="372" t="s">
        <v>14</v>
      </c>
      <c r="G5" s="372" t="s">
        <v>10</v>
      </c>
      <c r="H5" s="372" t="s">
        <v>14</v>
      </c>
      <c r="I5" s="373" t="s">
        <v>10</v>
      </c>
    </row>
    <row r="6" spans="1:9" x14ac:dyDescent="0.25">
      <c r="A6" s="62">
        <v>1</v>
      </c>
      <c r="B6" s="63">
        <v>9</v>
      </c>
      <c r="C6" s="64" t="s">
        <v>45</v>
      </c>
      <c r="D6" s="374">
        <f>1378.73/9</f>
        <v>153.19222222222223</v>
      </c>
      <c r="E6" s="374">
        <f>+D6*B6</f>
        <v>1378.73</v>
      </c>
      <c r="F6" s="374" t="s">
        <v>36</v>
      </c>
      <c r="G6" s="374" t="s">
        <v>36</v>
      </c>
      <c r="H6" s="374">
        <f>(38+5.49+1.54)*35.92</f>
        <v>1617.4776000000002</v>
      </c>
      <c r="I6" s="375">
        <f>+H6</f>
        <v>1617.4776000000002</v>
      </c>
    </row>
    <row r="7" spans="1:9" x14ac:dyDescent="0.25">
      <c r="A7" s="70">
        <v>2</v>
      </c>
      <c r="B7" s="192">
        <v>1</v>
      </c>
      <c r="C7" s="193" t="s">
        <v>46</v>
      </c>
      <c r="D7" s="376">
        <v>128.51</v>
      </c>
      <c r="E7" s="376">
        <f>+D7*B7</f>
        <v>128.51</v>
      </c>
      <c r="F7" s="376">
        <v>316.58999999999997</v>
      </c>
      <c r="G7" s="376">
        <f>+F7*B7</f>
        <v>316.58999999999997</v>
      </c>
      <c r="H7" s="374">
        <f>(11.55)*35.92</f>
        <v>414.87600000000003</v>
      </c>
      <c r="I7" s="377">
        <f>+H7*B7</f>
        <v>414.87600000000003</v>
      </c>
    </row>
    <row r="8" spans="1:9" x14ac:dyDescent="0.25">
      <c r="A8" s="70">
        <v>3</v>
      </c>
      <c r="B8" s="192">
        <v>1</v>
      </c>
      <c r="C8" s="193" t="s">
        <v>47</v>
      </c>
      <c r="D8" s="376">
        <v>436.6</v>
      </c>
      <c r="E8" s="376">
        <f>+D8*B8</f>
        <v>436.6</v>
      </c>
      <c r="F8" s="376">
        <v>1092.6400000000001</v>
      </c>
      <c r="G8" s="376">
        <f>+F8*B8</f>
        <v>1092.6400000000001</v>
      </c>
      <c r="H8" s="374">
        <f>(40.56)*35.92</f>
        <v>1456.9152000000001</v>
      </c>
      <c r="I8" s="377">
        <f>+H8*B8</f>
        <v>1456.9152000000001</v>
      </c>
    </row>
    <row r="9" spans="1:9" ht="15.75" thickBot="1" x14ac:dyDescent="0.3">
      <c r="A9" s="378">
        <v>4</v>
      </c>
      <c r="B9" s="379">
        <v>1</v>
      </c>
      <c r="C9" s="380" t="s">
        <v>282</v>
      </c>
      <c r="D9" s="381">
        <v>345.25</v>
      </c>
      <c r="E9" s="376">
        <f>+D9*B9</f>
        <v>345.25</v>
      </c>
      <c r="F9" s="457">
        <v>358.12</v>
      </c>
      <c r="G9" s="458">
        <f>+F9*B9</f>
        <v>358.12</v>
      </c>
      <c r="H9" s="374">
        <f>(50.55)*35.92</f>
        <v>1815.7560000000001</v>
      </c>
      <c r="I9" s="377">
        <f>+H9*B9</f>
        <v>1815.7560000000001</v>
      </c>
    </row>
    <row r="10" spans="1:9" x14ac:dyDescent="0.25">
      <c r="A10" s="1132" t="s">
        <v>4</v>
      </c>
      <c r="B10" s="1133"/>
      <c r="C10" s="1133"/>
      <c r="D10" s="1378">
        <f>SUM(E6:E9)</f>
        <v>2289.09</v>
      </c>
      <c r="E10" s="1378"/>
      <c r="F10" s="1378">
        <f>SUM(G6:G9)</f>
        <v>1767.35</v>
      </c>
      <c r="G10" s="1378"/>
      <c r="H10" s="1378">
        <f>SUM(I6:I9)</f>
        <v>5305.0248000000001</v>
      </c>
      <c r="I10" s="1379"/>
    </row>
    <row r="11" spans="1:9" x14ac:dyDescent="0.25">
      <c r="A11" s="1123" t="s">
        <v>5</v>
      </c>
      <c r="B11" s="1124"/>
      <c r="C11" s="1124"/>
      <c r="D11" s="1374">
        <v>0</v>
      </c>
      <c r="E11" s="1374"/>
      <c r="F11" s="1374">
        <v>441.84</v>
      </c>
      <c r="G11" s="1374"/>
      <c r="H11" s="1376" t="s">
        <v>281</v>
      </c>
      <c r="I11" s="1377"/>
    </row>
    <row r="12" spans="1:9" x14ac:dyDescent="0.25">
      <c r="A12" s="1123" t="s">
        <v>2</v>
      </c>
      <c r="B12" s="1124"/>
      <c r="C12" s="1124"/>
      <c r="D12" s="1374">
        <f>(D10-D11)*15%</f>
        <v>343.36349999999999</v>
      </c>
      <c r="E12" s="1374"/>
      <c r="F12" s="1374">
        <f>(F10-F11)*15%</f>
        <v>198.82649999999998</v>
      </c>
      <c r="G12" s="1374"/>
      <c r="H12" s="1374">
        <f>H10*15%</f>
        <v>795.75372000000004</v>
      </c>
      <c r="I12" s="1375"/>
    </row>
    <row r="13" spans="1:9" ht="15.75" thickBot="1" x14ac:dyDescent="0.3">
      <c r="A13" s="1109" t="s">
        <v>3</v>
      </c>
      <c r="B13" s="1110"/>
      <c r="C13" s="1110"/>
      <c r="D13" s="1372">
        <f>(D10-D11)+D12</f>
        <v>2632.4535000000001</v>
      </c>
      <c r="E13" s="1372"/>
      <c r="F13" s="1372">
        <f>(F10-F11)+F12</f>
        <v>1524.3364999999999</v>
      </c>
      <c r="G13" s="1372"/>
      <c r="H13" s="1372">
        <f>H10+H12</f>
        <v>6100.7785199999998</v>
      </c>
      <c r="I13" s="1373"/>
    </row>
    <row r="16" spans="1:9" x14ac:dyDescent="0.25">
      <c r="G16" s="413"/>
    </row>
  </sheetData>
  <mergeCells count="21">
    <mergeCell ref="A12:C12"/>
    <mergeCell ref="D12:E12"/>
    <mergeCell ref="F12:G12"/>
    <mergeCell ref="H12:I12"/>
    <mergeCell ref="A13:C13"/>
    <mergeCell ref="D13:E13"/>
    <mergeCell ref="F13:G13"/>
    <mergeCell ref="H13:I13"/>
    <mergeCell ref="A10:C10"/>
    <mergeCell ref="D10:E10"/>
    <mergeCell ref="F10:G10"/>
    <mergeCell ref="H10:I10"/>
    <mergeCell ref="A11:C11"/>
    <mergeCell ref="D11:E11"/>
    <mergeCell ref="F11:G11"/>
    <mergeCell ref="H11:I11"/>
    <mergeCell ref="A3:I3"/>
    <mergeCell ref="A4:A5"/>
    <mergeCell ref="D4:E4"/>
    <mergeCell ref="F4:G4"/>
    <mergeCell ref="H4:I4"/>
  </mergeCells>
  <conditionalFormatting sqref="I6:I9">
    <cfRule type="expression" dxfId="389" priority="10">
      <formula>H6=""</formula>
    </cfRule>
  </conditionalFormatting>
  <conditionalFormatting sqref="E6:E7 G6:G7">
    <cfRule type="expression" dxfId="388" priority="5">
      <formula>D6=""</formula>
    </cfRule>
  </conditionalFormatting>
  <conditionalFormatting sqref="E8:E9 G8:G9">
    <cfRule type="expression" dxfId="387" priority="4">
      <formula>D8=""</formula>
    </cfRule>
  </conditionalFormatting>
  <conditionalFormatting sqref="I8:I9">
    <cfRule type="expression" dxfId="386" priority="1">
      <formula>H8=""</formula>
    </cfRule>
  </conditionalFormatting>
  <conditionalFormatting sqref="E6:E9 G6:G9 I6:I9">
    <cfRule type="expression" dxfId="385" priority="122">
      <formula>D6=MIN($D6,$F6,$H6)</formula>
    </cfRule>
  </conditionalFormatting>
  <conditionalFormatting sqref="I8:I9">
    <cfRule type="expression" dxfId="384" priority="125">
      <formula>H8=""</formula>
    </cfRule>
    <cfRule type="expression" dxfId="383" priority="126">
      <formula>H8=MIN($D8,#REF!,$H8)</formula>
    </cfRule>
  </conditionalFormatting>
  <pageMargins left="0.25" right="0.25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2FCAE-B41E-4AC0-9467-275D7A65D094}">
  <sheetPr codeName="Hoja34"/>
  <dimension ref="B2:K13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8.28515625" style="108" bestFit="1" customWidth="1"/>
    <col min="5" max="5" width="11.140625" style="108" bestFit="1" customWidth="1"/>
    <col min="6" max="6" width="12.85546875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0" width="12.85546875" style="108" bestFit="1" customWidth="1"/>
    <col min="11" max="11" width="13.42578125" style="109" bestFit="1" customWidth="1"/>
    <col min="12" max="12" width="13.42578125" style="108" bestFit="1" customWidth="1"/>
    <col min="13" max="16384" width="11.42578125" style="108"/>
  </cols>
  <sheetData>
    <row r="2" spans="2:11" ht="16.5" thickBot="1" x14ac:dyDescent="0.3"/>
    <row r="3" spans="2:11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1"/>
      <c r="K3" s="35"/>
    </row>
    <row r="4" spans="2:11" s="34" customFormat="1" ht="16.5" thickBot="1" x14ac:dyDescent="0.3">
      <c r="B4" s="1182" t="s">
        <v>6</v>
      </c>
      <c r="C4" s="110" t="s">
        <v>17</v>
      </c>
      <c r="D4" s="111" t="s">
        <v>286</v>
      </c>
      <c r="E4" s="1184" t="s">
        <v>53</v>
      </c>
      <c r="F4" s="1102"/>
      <c r="G4" s="1100" t="s">
        <v>55</v>
      </c>
      <c r="H4" s="1102"/>
      <c r="I4" s="1100" t="s">
        <v>105</v>
      </c>
      <c r="J4" s="1102"/>
      <c r="K4" s="35"/>
    </row>
    <row r="5" spans="2:11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420" t="s">
        <v>10</v>
      </c>
      <c r="G5" s="114" t="s">
        <v>14</v>
      </c>
      <c r="H5" s="420" t="s">
        <v>10</v>
      </c>
      <c r="I5" s="114" t="s">
        <v>14</v>
      </c>
      <c r="J5" s="116" t="s">
        <v>10</v>
      </c>
      <c r="K5" s="35"/>
    </row>
    <row r="6" spans="2:11" s="124" customFormat="1" ht="16.5" thickBot="1" x14ac:dyDescent="0.3">
      <c r="B6" s="117">
        <v>1</v>
      </c>
      <c r="C6" s="118">
        <v>12</v>
      </c>
      <c r="D6" s="119" t="s">
        <v>104</v>
      </c>
      <c r="E6" s="187">
        <v>171.22</v>
      </c>
      <c r="F6" s="188">
        <f>+E6*C6</f>
        <v>2054.64</v>
      </c>
      <c r="G6" s="187">
        <v>229.8</v>
      </c>
      <c r="H6" s="188">
        <f>+G6*C6</f>
        <v>2757.6000000000004</v>
      </c>
      <c r="I6" s="187">
        <v>218.61</v>
      </c>
      <c r="J6" s="189">
        <f>+I6*C6</f>
        <v>2623.32</v>
      </c>
      <c r="K6" s="123"/>
    </row>
    <row r="7" spans="2:11" x14ac:dyDescent="0.25">
      <c r="B7" s="1094" t="s">
        <v>4</v>
      </c>
      <c r="C7" s="1095"/>
      <c r="D7" s="1185"/>
      <c r="E7" s="1257">
        <f>SUM(F6:F6)</f>
        <v>2054.64</v>
      </c>
      <c r="F7" s="1258"/>
      <c r="G7" s="1257">
        <f>SUM(H6:H6)</f>
        <v>2757.6000000000004</v>
      </c>
      <c r="H7" s="1258"/>
      <c r="I7" s="1257">
        <f>SUM(J6:J6)</f>
        <v>2623.32</v>
      </c>
      <c r="J7" s="1259"/>
    </row>
    <row r="8" spans="2:11" x14ac:dyDescent="0.25">
      <c r="B8" s="1096" t="s">
        <v>5</v>
      </c>
      <c r="C8" s="1097"/>
      <c r="D8" s="1195"/>
      <c r="E8" s="1260">
        <f>+F6*0.35</f>
        <v>719.12399999999991</v>
      </c>
      <c r="F8" s="1261"/>
      <c r="G8" s="1260">
        <v>1406.34</v>
      </c>
      <c r="H8" s="1261"/>
      <c r="I8" s="1260">
        <f>+I7*0.35</f>
        <v>918.16200000000003</v>
      </c>
      <c r="J8" s="1262"/>
    </row>
    <row r="9" spans="2:11" x14ac:dyDescent="0.25">
      <c r="B9" s="1199" t="s">
        <v>2</v>
      </c>
      <c r="C9" s="1200"/>
      <c r="D9" s="1201"/>
      <c r="E9" s="1260">
        <f>(E7-E8)*15%</f>
        <v>200.32740000000001</v>
      </c>
      <c r="F9" s="1261"/>
      <c r="G9" s="1260">
        <f>(G7-G8)*15%</f>
        <v>202.68900000000005</v>
      </c>
      <c r="H9" s="1261"/>
      <c r="I9" s="1260">
        <f>(I7-I8)*15%</f>
        <v>255.77370000000002</v>
      </c>
      <c r="J9" s="1262"/>
    </row>
    <row r="10" spans="2:11" ht="16.5" thickBot="1" x14ac:dyDescent="0.3">
      <c r="B10" s="1189" t="s">
        <v>3</v>
      </c>
      <c r="C10" s="1190"/>
      <c r="D10" s="1191"/>
      <c r="E10" s="1263">
        <f>(E7-E8)+E9</f>
        <v>1535.8434000000002</v>
      </c>
      <c r="F10" s="1264"/>
      <c r="G10" s="1265">
        <f>(G7-G8)+G9</f>
        <v>1553.9490000000005</v>
      </c>
      <c r="H10" s="1266"/>
      <c r="I10" s="1265">
        <f>(I7-I8)+I9</f>
        <v>1960.9317000000001</v>
      </c>
      <c r="J10" s="1267"/>
    </row>
    <row r="11" spans="2:11" ht="16.5" thickBot="1" x14ac:dyDescent="0.3">
      <c r="B11" s="1189" t="s">
        <v>106</v>
      </c>
      <c r="C11" s="1190"/>
      <c r="D11" s="1191"/>
      <c r="E11" s="1268">
        <f>+E10*35.87</f>
        <v>55090.702758000007</v>
      </c>
      <c r="F11" s="1269"/>
      <c r="G11" s="1192">
        <f>+G10*35.85</f>
        <v>55709.07165000002</v>
      </c>
      <c r="H11" s="1193"/>
      <c r="I11" s="1192">
        <f>+I10*35.85</f>
        <v>70299.40144500001</v>
      </c>
      <c r="J11" s="1194"/>
    </row>
    <row r="13" spans="2:11" x14ac:dyDescent="0.25">
      <c r="F13" s="129"/>
      <c r="G13" s="129"/>
      <c r="H13" s="129"/>
      <c r="J13" s="129"/>
    </row>
  </sheetData>
  <mergeCells count="25">
    <mergeCell ref="B10:D10"/>
    <mergeCell ref="E10:F10"/>
    <mergeCell ref="G10:H10"/>
    <mergeCell ref="I10:J10"/>
    <mergeCell ref="B11:D11"/>
    <mergeCell ref="E11:F11"/>
    <mergeCell ref="G11:H11"/>
    <mergeCell ref="I11:J11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  <mergeCell ref="I7:J7"/>
    <mergeCell ref="B3:J3"/>
    <mergeCell ref="B4:B5"/>
    <mergeCell ref="E4:F4"/>
    <mergeCell ref="G4:H4"/>
    <mergeCell ref="I4:J4"/>
  </mergeCells>
  <conditionalFormatting sqref="H6 J6">
    <cfRule type="expression" dxfId="382" priority="1">
      <formula>G6=""</formula>
    </cfRule>
    <cfRule type="expression" dxfId="381" priority="2">
      <formula>G6=MIN($E6,$G6,$I6)</formula>
    </cfRule>
  </conditionalFormatting>
  <pageMargins left="0.25" right="0.25" top="0.75" bottom="0.75" header="0.3" footer="0.3"/>
  <pageSetup orientation="landscape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D269A1-6882-41AB-B5F8-BF0C0730098D}">
  <sheetPr codeName="Hoja35"/>
  <dimension ref="A2:L17"/>
  <sheetViews>
    <sheetView showGridLines="0" workbookViewId="0">
      <selection activeCell="C6" sqref="C6"/>
    </sheetView>
  </sheetViews>
  <sheetFormatPr baseColWidth="10" defaultColWidth="20.5703125" defaultRowHeight="15" x14ac:dyDescent="0.25"/>
  <cols>
    <col min="1" max="1" width="2.5703125" style="367" bestFit="1" customWidth="1"/>
    <col min="2" max="2" width="5.85546875" style="367" bestFit="1" customWidth="1"/>
    <col min="3" max="3" width="19" style="367" bestFit="1" customWidth="1"/>
    <col min="4" max="4" width="11.7109375" style="367" bestFit="1" customWidth="1"/>
    <col min="5" max="5" width="12.7109375" style="367" bestFit="1" customWidth="1"/>
    <col min="6" max="9" width="11.7109375" style="367" bestFit="1" customWidth="1"/>
    <col min="10" max="10" width="10.140625" style="367" bestFit="1" customWidth="1"/>
    <col min="11" max="11" width="11.7109375" style="367" bestFit="1" customWidth="1"/>
    <col min="12" max="12" width="6.85546875" style="366" bestFit="1" customWidth="1"/>
    <col min="13" max="16384" width="20.5703125" style="367"/>
  </cols>
  <sheetData>
    <row r="2" spans="1:12" ht="15.75" thickBot="1" x14ac:dyDescent="0.3"/>
    <row r="3" spans="1:12" s="53" customFormat="1" ht="15.75" thickBot="1" x14ac:dyDescent="0.3">
      <c r="A3" s="1359" t="s">
        <v>1</v>
      </c>
      <c r="B3" s="1361"/>
      <c r="C3" s="1361"/>
      <c r="D3" s="1361"/>
      <c r="E3" s="1361"/>
      <c r="F3" s="1361"/>
      <c r="G3" s="1361"/>
      <c r="H3" s="1361"/>
      <c r="I3" s="1361"/>
      <c r="J3" s="1361"/>
      <c r="K3" s="1362"/>
      <c r="L3" s="54"/>
    </row>
    <row r="4" spans="1:12" s="53" customFormat="1" x14ac:dyDescent="0.25">
      <c r="A4" s="1390" t="s">
        <v>6</v>
      </c>
      <c r="B4" s="427" t="s">
        <v>17</v>
      </c>
      <c r="C4" s="370" t="s">
        <v>287</v>
      </c>
      <c r="D4" s="1382" t="s">
        <v>18</v>
      </c>
      <c r="E4" s="1382"/>
      <c r="F4" s="1382" t="s">
        <v>21</v>
      </c>
      <c r="G4" s="1382"/>
      <c r="H4" s="1382" t="s">
        <v>19</v>
      </c>
      <c r="I4" s="1382"/>
      <c r="J4" s="1382" t="s">
        <v>22</v>
      </c>
      <c r="K4" s="1383"/>
      <c r="L4" s="54"/>
    </row>
    <row r="5" spans="1:12" s="53" customFormat="1" ht="15.75" thickBot="1" x14ac:dyDescent="0.3">
      <c r="A5" s="1391"/>
      <c r="B5" s="428" t="s">
        <v>11</v>
      </c>
      <c r="C5" s="372" t="s">
        <v>0</v>
      </c>
      <c r="D5" s="372" t="s">
        <v>14</v>
      </c>
      <c r="E5" s="372" t="s">
        <v>10</v>
      </c>
      <c r="F5" s="372" t="s">
        <v>14</v>
      </c>
      <c r="G5" s="372" t="s">
        <v>10</v>
      </c>
      <c r="H5" s="372" t="s">
        <v>299</v>
      </c>
      <c r="I5" s="372" t="s">
        <v>10</v>
      </c>
      <c r="J5" s="372" t="s">
        <v>14</v>
      </c>
      <c r="K5" s="373" t="s">
        <v>10</v>
      </c>
      <c r="L5" s="54"/>
    </row>
    <row r="6" spans="1:12" s="362" customFormat="1" x14ac:dyDescent="0.25">
      <c r="A6" s="429">
        <v>1</v>
      </c>
      <c r="B6" s="430">
        <v>2</v>
      </c>
      <c r="C6" s="357" t="s">
        <v>288</v>
      </c>
      <c r="D6" s="431">
        <f>39.31*TC!C3</f>
        <v>1403.1625880000001</v>
      </c>
      <c r="E6" s="431">
        <f>+D6*$B6</f>
        <v>2806.3251760000003</v>
      </c>
      <c r="F6" s="431">
        <v>1095.8399999999999</v>
      </c>
      <c r="G6" s="431">
        <f>+F6*$B6</f>
        <v>2191.6799999999998</v>
      </c>
      <c r="H6" s="431">
        <f>32.5*TC!C3</f>
        <v>1160.0810000000001</v>
      </c>
      <c r="I6" s="431">
        <f>+H6</f>
        <v>1160.0810000000001</v>
      </c>
      <c r="J6" s="431" t="s">
        <v>36</v>
      </c>
      <c r="K6" s="432" t="s">
        <v>36</v>
      </c>
      <c r="L6" s="361"/>
    </row>
    <row r="7" spans="1:12" s="362" customFormat="1" x14ac:dyDescent="0.25">
      <c r="A7" s="433">
        <v>2</v>
      </c>
      <c r="B7" s="434">
        <v>2</v>
      </c>
      <c r="C7" s="364" t="s">
        <v>289</v>
      </c>
      <c r="D7" s="435" t="s">
        <v>36</v>
      </c>
      <c r="E7" s="435" t="s">
        <v>36</v>
      </c>
      <c r="F7" s="435">
        <v>98.45</v>
      </c>
      <c r="G7" s="435">
        <f t="shared" ref="G7:G8" si="0">+F7*$B7</f>
        <v>196.9</v>
      </c>
      <c r="H7" s="435">
        <f>1.9*TC!C3</f>
        <v>67.820120000000003</v>
      </c>
      <c r="I7" s="435">
        <f>+H7*B7</f>
        <v>135.64024000000001</v>
      </c>
      <c r="J7" s="435" t="s">
        <v>36</v>
      </c>
      <c r="K7" s="436" t="s">
        <v>36</v>
      </c>
      <c r="L7" s="361"/>
    </row>
    <row r="8" spans="1:12" s="362" customFormat="1" ht="15.75" thickBot="1" x14ac:dyDescent="0.3">
      <c r="A8" s="433">
        <v>3</v>
      </c>
      <c r="B8" s="437">
        <v>30</v>
      </c>
      <c r="C8" s="438" t="s">
        <v>290</v>
      </c>
      <c r="D8" s="439">
        <f>11.36*TC!C3</f>
        <v>405.49292800000001</v>
      </c>
      <c r="E8" s="439">
        <f t="shared" ref="E8" si="1">+D8*$B8</f>
        <v>12164.787840000001</v>
      </c>
      <c r="F8" s="439">
        <v>293.44</v>
      </c>
      <c r="G8" s="439">
        <f t="shared" si="0"/>
        <v>8803.2000000000007</v>
      </c>
      <c r="H8" s="439">
        <f>8.4471*TC!C3</f>
        <v>301.51754508000005</v>
      </c>
      <c r="I8" s="439">
        <f>+H8*B8</f>
        <v>9045.526352400002</v>
      </c>
      <c r="J8" s="439" t="s">
        <v>36</v>
      </c>
      <c r="K8" s="440" t="s">
        <v>36</v>
      </c>
      <c r="L8" s="361"/>
    </row>
    <row r="9" spans="1:12" s="362" customFormat="1" x14ac:dyDescent="0.25">
      <c r="A9" s="441">
        <v>4</v>
      </c>
      <c r="B9" s="442">
        <v>14</v>
      </c>
      <c r="C9" s="443" t="s">
        <v>292</v>
      </c>
      <c r="D9" s="444" t="s">
        <v>36</v>
      </c>
      <c r="E9" s="444" t="s">
        <v>36</v>
      </c>
      <c r="F9" s="444" t="s">
        <v>36</v>
      </c>
      <c r="G9" s="444" t="s">
        <v>36</v>
      </c>
      <c r="H9" s="444" t="s">
        <v>36</v>
      </c>
      <c r="I9" s="444" t="s">
        <v>36</v>
      </c>
      <c r="J9" s="444">
        <v>608.70000000000005</v>
      </c>
      <c r="K9" s="445">
        <f>+J9*10</f>
        <v>6087</v>
      </c>
      <c r="L9" s="361" t="s">
        <v>293</v>
      </c>
    </row>
    <row r="10" spans="1:12" s="362" customFormat="1" ht="15.75" thickBot="1" x14ac:dyDescent="0.3">
      <c r="A10" s="441"/>
      <c r="B10" s="446"/>
      <c r="C10" s="447"/>
      <c r="D10" s="448"/>
      <c r="E10" s="448"/>
      <c r="F10" s="448"/>
      <c r="G10" s="448"/>
      <c r="H10" s="448" t="s">
        <v>36</v>
      </c>
      <c r="I10" s="448" t="s">
        <v>36</v>
      </c>
      <c r="J10" s="448">
        <v>500.87</v>
      </c>
      <c r="K10" s="449">
        <f>+J10*4</f>
        <v>2003.48</v>
      </c>
      <c r="L10" s="361">
        <v>44</v>
      </c>
    </row>
    <row r="11" spans="1:12" s="362" customFormat="1" ht="15.75" thickBot="1" x14ac:dyDescent="0.3">
      <c r="A11" s="450">
        <v>5</v>
      </c>
      <c r="B11" s="451">
        <v>29</v>
      </c>
      <c r="C11" s="452" t="s">
        <v>291</v>
      </c>
      <c r="D11" s="453">
        <f>8.41*TC!C3</f>
        <v>300.19326799999999</v>
      </c>
      <c r="E11" s="453">
        <f>+D11*$B11</f>
        <v>8705.6047719999988</v>
      </c>
      <c r="F11" s="453" t="s">
        <v>36</v>
      </c>
      <c r="G11" s="453" t="s">
        <v>36</v>
      </c>
      <c r="H11" s="453">
        <f>8.3538*TC!C3</f>
        <v>298.18722023999999</v>
      </c>
      <c r="I11" s="453">
        <f>+H11*17</f>
        <v>5069.1827440799998</v>
      </c>
      <c r="J11" s="453">
        <v>247.83</v>
      </c>
      <c r="K11" s="454">
        <f>+J11*25</f>
        <v>6195.75</v>
      </c>
      <c r="L11" s="361" t="s">
        <v>294</v>
      </c>
    </row>
    <row r="12" spans="1:12" ht="15.75" thickTop="1" x14ac:dyDescent="0.25">
      <c r="A12" s="1392" t="s">
        <v>4</v>
      </c>
      <c r="B12" s="1393"/>
      <c r="C12" s="1393"/>
      <c r="D12" s="1394">
        <f>SUM(E6:E11)</f>
        <v>23676.717788000002</v>
      </c>
      <c r="E12" s="1394"/>
      <c r="F12" s="1394">
        <f>SUM(G6:G11)</f>
        <v>11191.78</v>
      </c>
      <c r="G12" s="1394"/>
      <c r="H12" s="1394">
        <f>SUM(I6:I11)</f>
        <v>15410.430336480003</v>
      </c>
      <c r="I12" s="1394"/>
      <c r="J12" s="1394">
        <f>SUM(K6:K11)</f>
        <v>14286.23</v>
      </c>
      <c r="K12" s="1395"/>
    </row>
    <row r="13" spans="1:12" x14ac:dyDescent="0.25">
      <c r="A13" s="1123" t="s">
        <v>5</v>
      </c>
      <c r="B13" s="1124"/>
      <c r="C13" s="1124"/>
      <c r="D13" s="1374">
        <v>0</v>
      </c>
      <c r="E13" s="1374"/>
      <c r="F13" s="1374">
        <v>0</v>
      </c>
      <c r="G13" s="1374"/>
      <c r="H13" s="1374">
        <v>0</v>
      </c>
      <c r="I13" s="1374"/>
      <c r="J13" s="1374">
        <v>0</v>
      </c>
      <c r="K13" s="1375"/>
    </row>
    <row r="14" spans="1:12" x14ac:dyDescent="0.25">
      <c r="A14" s="1369" t="s">
        <v>2</v>
      </c>
      <c r="B14" s="1370"/>
      <c r="C14" s="1370"/>
      <c r="D14" s="1374">
        <f>(D12-D13)*15%</f>
        <v>3551.5076682000004</v>
      </c>
      <c r="E14" s="1374"/>
      <c r="F14" s="1374">
        <f>(F12-F13)*15%</f>
        <v>1678.7670000000001</v>
      </c>
      <c r="G14" s="1374"/>
      <c r="H14" s="1374">
        <f>(H12-H13)*15%</f>
        <v>2311.5645504720005</v>
      </c>
      <c r="I14" s="1374"/>
      <c r="J14" s="1374">
        <f>(J12-J13)*15%</f>
        <v>2142.9344999999998</v>
      </c>
      <c r="K14" s="1375"/>
    </row>
    <row r="15" spans="1:12" ht="15.75" thickBot="1" x14ac:dyDescent="0.3">
      <c r="A15" s="1363" t="s">
        <v>3</v>
      </c>
      <c r="B15" s="1364"/>
      <c r="C15" s="1364"/>
      <c r="D15" s="1388">
        <f>(D12-D13)+D14</f>
        <v>27228.225456200002</v>
      </c>
      <c r="E15" s="1388"/>
      <c r="F15" s="1388">
        <f>(F12-F13)+F14</f>
        <v>12870.547</v>
      </c>
      <c r="G15" s="1388"/>
      <c r="H15" s="1388">
        <f>(H12-H13)+H14</f>
        <v>17721.994886952005</v>
      </c>
      <c r="I15" s="1388"/>
      <c r="J15" s="1388">
        <f>(J12-J13)+J14</f>
        <v>16429.164499999999</v>
      </c>
      <c r="K15" s="1389"/>
    </row>
    <row r="17" spans="5:11" x14ac:dyDescent="0.25">
      <c r="E17" s="368"/>
      <c r="F17" s="368"/>
      <c r="G17" s="368"/>
      <c r="H17" s="455" t="s">
        <v>300</v>
      </c>
      <c r="I17" s="368"/>
      <c r="J17" s="456"/>
      <c r="K17" s="368"/>
    </row>
  </sheetData>
  <mergeCells count="26">
    <mergeCell ref="A12:C12"/>
    <mergeCell ref="D12:E12"/>
    <mergeCell ref="F12:G12"/>
    <mergeCell ref="J12:K12"/>
    <mergeCell ref="H4:I4"/>
    <mergeCell ref="H12:I12"/>
    <mergeCell ref="A3:K3"/>
    <mergeCell ref="A4:A5"/>
    <mergeCell ref="D4:E4"/>
    <mergeCell ref="F4:G4"/>
    <mergeCell ref="J4:K4"/>
    <mergeCell ref="A15:C15"/>
    <mergeCell ref="D15:E15"/>
    <mergeCell ref="F15:G15"/>
    <mergeCell ref="J15:K15"/>
    <mergeCell ref="A13:C13"/>
    <mergeCell ref="D13:E13"/>
    <mergeCell ref="F13:G13"/>
    <mergeCell ref="J13:K13"/>
    <mergeCell ref="A14:C14"/>
    <mergeCell ref="D14:E14"/>
    <mergeCell ref="F14:G14"/>
    <mergeCell ref="J14:K14"/>
    <mergeCell ref="H13:I13"/>
    <mergeCell ref="H14:I14"/>
    <mergeCell ref="H15:I15"/>
  </mergeCells>
  <conditionalFormatting sqref="E6:E11">
    <cfRule type="expression" dxfId="380" priority="7">
      <formula>D6=""</formula>
    </cfRule>
  </conditionalFormatting>
  <conditionalFormatting sqref="G6:G11">
    <cfRule type="expression" dxfId="379" priority="5">
      <formula>F6=""</formula>
    </cfRule>
  </conditionalFormatting>
  <conditionalFormatting sqref="K6:K11">
    <cfRule type="expression" dxfId="378" priority="3">
      <formula>J6=""</formula>
    </cfRule>
  </conditionalFormatting>
  <conditionalFormatting sqref="I6:I11">
    <cfRule type="expression" dxfId="377" priority="1">
      <formula>H6=""</formula>
    </cfRule>
  </conditionalFormatting>
  <conditionalFormatting sqref="E6:E11 G6:G11 I6:I11 K6:K11">
    <cfRule type="expression" dxfId="376" priority="8">
      <formula>D6=MIN($D6,$F6,$H6,$J6)</formula>
    </cfRule>
  </conditionalFormatting>
  <pageMargins left="0.25" right="0.25" top="0.75" bottom="0.75" header="0.3" footer="0.3"/>
  <pageSetup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ABA9B-F136-4C97-9948-3255DC5CED4C}">
  <sheetPr codeName="Hoja36"/>
  <dimension ref="A2:L14"/>
  <sheetViews>
    <sheetView showGridLines="0" workbookViewId="0">
      <selection activeCell="D4" sqref="D4:E4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20.140625" style="108" bestFit="1" customWidth="1"/>
    <col min="4" max="4" width="12.85546875" style="108" bestFit="1" customWidth="1"/>
    <col min="5" max="5" width="14" style="108" bestFit="1" customWidth="1"/>
    <col min="6" max="6" width="12.85546875" style="108" bestFit="1" customWidth="1"/>
    <col min="7" max="7" width="14" style="108" bestFit="1" customWidth="1"/>
    <col min="8" max="8" width="11.140625" style="108" bestFit="1" customWidth="1"/>
    <col min="9" max="11" width="12.85546875" style="108" bestFit="1" customWidth="1"/>
    <col min="12" max="12" width="13.42578125" style="109" bestFit="1" customWidth="1"/>
    <col min="13" max="13" width="13.42578125" style="108" bestFit="1" customWidth="1"/>
    <col min="14" max="16384" width="11.42578125" style="108"/>
  </cols>
  <sheetData>
    <row r="2" spans="1:12" ht="16.5" thickBot="1" x14ac:dyDescent="0.3"/>
    <row r="3" spans="1:12" s="34" customFormat="1" ht="16.5" thickBot="1" x14ac:dyDescent="0.3">
      <c r="A3" s="1178" t="s">
        <v>1</v>
      </c>
      <c r="B3" s="1180"/>
      <c r="C3" s="1180"/>
      <c r="D3" s="1180"/>
      <c r="E3" s="1180"/>
      <c r="F3" s="1180"/>
      <c r="G3" s="1180"/>
      <c r="H3" s="1180"/>
      <c r="I3" s="1180"/>
      <c r="J3" s="1180"/>
      <c r="K3" s="1181"/>
      <c r="L3" s="35"/>
    </row>
    <row r="4" spans="1:12" s="34" customFormat="1" x14ac:dyDescent="0.25">
      <c r="A4" s="1384" t="s">
        <v>6</v>
      </c>
      <c r="B4" s="43" t="s">
        <v>17</v>
      </c>
      <c r="C4" s="44" t="s">
        <v>295</v>
      </c>
      <c r="D4" s="1398" t="s">
        <v>53</v>
      </c>
      <c r="E4" s="1398"/>
      <c r="F4" s="1398" t="s">
        <v>72</v>
      </c>
      <c r="G4" s="1398"/>
      <c r="H4" s="1398" t="s">
        <v>52</v>
      </c>
      <c r="I4" s="1398"/>
      <c r="J4" s="1398" t="s">
        <v>51</v>
      </c>
      <c r="K4" s="1402"/>
      <c r="L4" s="35"/>
    </row>
    <row r="5" spans="1:12" s="34" customFormat="1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45" t="s">
        <v>10</v>
      </c>
      <c r="J5" s="45" t="s">
        <v>14</v>
      </c>
      <c r="K5" s="393" t="s">
        <v>10</v>
      </c>
      <c r="L5" s="35"/>
    </row>
    <row r="6" spans="1:12" s="124" customFormat="1" x14ac:dyDescent="0.25">
      <c r="A6" s="395">
        <v>1</v>
      </c>
      <c r="B6" s="396">
        <v>4</v>
      </c>
      <c r="C6" s="119" t="s">
        <v>296</v>
      </c>
      <c r="D6" s="399">
        <f>(293.2/4)*35.92</f>
        <v>2632.9360000000001</v>
      </c>
      <c r="E6" s="399">
        <f>+D6*$B6</f>
        <v>10531.744000000001</v>
      </c>
      <c r="F6" s="399">
        <v>2900</v>
      </c>
      <c r="G6" s="399">
        <f>+F6*$B6</f>
        <v>11600</v>
      </c>
      <c r="H6" s="399">
        <f>3968.43/4</f>
        <v>992.10749999999996</v>
      </c>
      <c r="I6" s="399">
        <f>+H6*$B6</f>
        <v>3968.43</v>
      </c>
      <c r="J6" s="399">
        <v>1500</v>
      </c>
      <c r="K6" s="400">
        <f>+J6*$B6</f>
        <v>6000</v>
      </c>
      <c r="L6" s="123"/>
    </row>
    <row r="7" spans="1:12" s="124" customFormat="1" x14ac:dyDescent="0.25">
      <c r="A7" s="421">
        <v>2</v>
      </c>
      <c r="B7" s="422">
        <v>4</v>
      </c>
      <c r="C7" s="127" t="s">
        <v>297</v>
      </c>
      <c r="D7" s="423">
        <f>(166.04/4)*35.92</f>
        <v>1491.0391999999999</v>
      </c>
      <c r="E7" s="423">
        <f>+D7*$B7</f>
        <v>5964.1567999999997</v>
      </c>
      <c r="F7" s="423">
        <v>1700</v>
      </c>
      <c r="G7" s="423">
        <f>+F7*$B7</f>
        <v>6800</v>
      </c>
      <c r="H7" s="423" t="s">
        <v>36</v>
      </c>
      <c r="I7" s="423" t="s">
        <v>36</v>
      </c>
      <c r="J7" s="423">
        <v>750</v>
      </c>
      <c r="K7" s="424">
        <f>+J7*$B7</f>
        <v>3000</v>
      </c>
      <c r="L7" s="123"/>
    </row>
    <row r="8" spans="1:12" s="124" customFormat="1" ht="16.5" thickBot="1" x14ac:dyDescent="0.3">
      <c r="A8" s="401">
        <v>3</v>
      </c>
      <c r="B8" s="402">
        <v>4</v>
      </c>
      <c r="C8" s="425" t="s">
        <v>298</v>
      </c>
      <c r="D8" s="405">
        <f>(19.17/B8)*35.92</f>
        <v>172.14660000000003</v>
      </c>
      <c r="E8" s="405">
        <f>+D8*$B8</f>
        <v>688.58640000000014</v>
      </c>
      <c r="F8" s="405">
        <v>70</v>
      </c>
      <c r="G8" s="405">
        <f>+F8*$B8</f>
        <v>280</v>
      </c>
      <c r="H8" s="405" t="s">
        <v>36</v>
      </c>
      <c r="I8" s="405" t="s">
        <v>36</v>
      </c>
      <c r="J8" s="405" t="s">
        <v>36</v>
      </c>
      <c r="K8" s="407" t="s">
        <v>36</v>
      </c>
      <c r="L8" s="123"/>
    </row>
    <row r="9" spans="1:12" x14ac:dyDescent="0.25">
      <c r="A9" s="1094" t="s">
        <v>4</v>
      </c>
      <c r="B9" s="1095"/>
      <c r="C9" s="1095"/>
      <c r="D9" s="1399">
        <f>SUM(E6:E8)</f>
        <v>17184.4872</v>
      </c>
      <c r="E9" s="1399"/>
      <c r="F9" s="1399">
        <f>SUM(G6:G8)</f>
        <v>18680</v>
      </c>
      <c r="G9" s="1399"/>
      <c r="H9" s="1399">
        <f>SUM(I6:I8)</f>
        <v>3968.43</v>
      </c>
      <c r="I9" s="1399"/>
      <c r="J9" s="1399">
        <f>SUM(K6:K8)</f>
        <v>9000</v>
      </c>
      <c r="K9" s="1403"/>
    </row>
    <row r="10" spans="1:12" x14ac:dyDescent="0.25">
      <c r="A10" s="1096" t="s">
        <v>5</v>
      </c>
      <c r="B10" s="1097"/>
      <c r="C10" s="1097"/>
      <c r="D10" s="1400">
        <v>0</v>
      </c>
      <c r="E10" s="1400"/>
      <c r="F10" s="1400">
        <v>0</v>
      </c>
      <c r="G10" s="1400"/>
      <c r="H10" s="1400">
        <v>1322.81</v>
      </c>
      <c r="I10" s="1400"/>
      <c r="J10" s="1400">
        <v>0</v>
      </c>
      <c r="K10" s="1401"/>
    </row>
    <row r="11" spans="1:12" x14ac:dyDescent="0.25">
      <c r="A11" s="1199" t="s">
        <v>2</v>
      </c>
      <c r="B11" s="1200"/>
      <c r="C11" s="1200"/>
      <c r="D11" s="1400">
        <f>(D9-D10)*15%</f>
        <v>2577.67308</v>
      </c>
      <c r="E11" s="1400"/>
      <c r="F11" s="1400">
        <v>0</v>
      </c>
      <c r="G11" s="1400"/>
      <c r="H11" s="1400">
        <f>(H9)*15%</f>
        <v>595.2645</v>
      </c>
      <c r="I11" s="1400"/>
      <c r="J11" s="1400">
        <v>0</v>
      </c>
      <c r="K11" s="1401"/>
    </row>
    <row r="12" spans="1:12" ht="16.5" thickBot="1" x14ac:dyDescent="0.3">
      <c r="A12" s="1189" t="s">
        <v>3</v>
      </c>
      <c r="B12" s="1190"/>
      <c r="C12" s="1190"/>
      <c r="D12" s="1396">
        <f>(D9-D10)+D11</f>
        <v>19762.16028</v>
      </c>
      <c r="E12" s="1396"/>
      <c r="F12" s="1396">
        <f>(F9-F10)+F11</f>
        <v>18680</v>
      </c>
      <c r="G12" s="1396"/>
      <c r="H12" s="1396">
        <f>(H9)+H11</f>
        <v>4563.6944999999996</v>
      </c>
      <c r="I12" s="1396"/>
      <c r="J12" s="1396">
        <f>(J9-J10)+J11</f>
        <v>9000</v>
      </c>
      <c r="K12" s="1397"/>
    </row>
    <row r="14" spans="1:12" x14ac:dyDescent="0.25">
      <c r="E14" s="129"/>
      <c r="F14" s="129"/>
      <c r="G14" s="129"/>
      <c r="H14" s="426"/>
      <c r="I14" s="129"/>
      <c r="K14" s="129"/>
    </row>
  </sheetData>
  <mergeCells count="26">
    <mergeCell ref="J11:K11"/>
    <mergeCell ref="A3:K3"/>
    <mergeCell ref="A4:A5"/>
    <mergeCell ref="D4:E4"/>
    <mergeCell ref="F4:G4"/>
    <mergeCell ref="J4:K4"/>
    <mergeCell ref="A9:C9"/>
    <mergeCell ref="D9:E9"/>
    <mergeCell ref="F9:G9"/>
    <mergeCell ref="J9:K9"/>
    <mergeCell ref="A12:C12"/>
    <mergeCell ref="D12:E12"/>
    <mergeCell ref="F12:G12"/>
    <mergeCell ref="J12:K12"/>
    <mergeCell ref="H4:I4"/>
    <mergeCell ref="H9:I9"/>
    <mergeCell ref="H10:I10"/>
    <mergeCell ref="H11:I11"/>
    <mergeCell ref="H12:I12"/>
    <mergeCell ref="A10:C10"/>
    <mergeCell ref="D10:E10"/>
    <mergeCell ref="F10:G10"/>
    <mergeCell ref="J10:K10"/>
    <mergeCell ref="A11:C11"/>
    <mergeCell ref="D11:E11"/>
    <mergeCell ref="F11:G11"/>
  </mergeCells>
  <conditionalFormatting sqref="E6:E8 G6:G8 K6:K8">
    <cfRule type="expression" dxfId="375" priority="7">
      <formula>D6=""</formula>
    </cfRule>
  </conditionalFormatting>
  <conditionalFormatting sqref="I6:I8">
    <cfRule type="expression" dxfId="374" priority="1">
      <formula>H6=""</formula>
    </cfRule>
    <cfRule type="expression" dxfId="373" priority="2">
      <formula>H6=MIN($D6,$F6,$J6)</formula>
    </cfRule>
  </conditionalFormatting>
  <conditionalFormatting sqref="E6:E8 G6:G8 I6:I8 K6:K8">
    <cfRule type="expression" dxfId="372" priority="8">
      <formula>D6=MIN($D6,$F6,$H6,$J6)</formula>
    </cfRule>
  </conditionalFormatting>
  <pageMargins left="0.25" right="0.25" top="0.75" bottom="0.75" header="0.3" footer="0.3"/>
  <pageSetup orientation="landscape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D7197-1496-4146-A4A5-FD4B1018FEAF}">
  <sheetPr codeName="Hoja37"/>
  <dimension ref="A1:N20"/>
  <sheetViews>
    <sheetView showGridLines="0" workbookViewId="0">
      <selection activeCell="I14" sqref="I14"/>
    </sheetView>
  </sheetViews>
  <sheetFormatPr baseColWidth="10" defaultRowHeight="12" x14ac:dyDescent="0.2"/>
  <cols>
    <col min="1" max="1" width="3.28515625" style="476" bestFit="1" customWidth="1"/>
    <col min="2" max="2" width="4.85546875" style="476" bestFit="1" customWidth="1"/>
    <col min="3" max="3" width="15.42578125" style="476" bestFit="1" customWidth="1"/>
    <col min="4" max="13" width="9.85546875" style="476" bestFit="1" customWidth="1"/>
    <col min="14" max="14" width="13.42578125" style="477" bestFit="1" customWidth="1"/>
    <col min="15" max="15" width="13.42578125" style="476" bestFit="1" customWidth="1"/>
    <col min="16" max="16384" width="11.42578125" style="476"/>
  </cols>
  <sheetData>
    <row r="1" spans="1:14" ht="12.75" thickBot="1" x14ac:dyDescent="0.25"/>
    <row r="2" spans="1:14" s="479" customFormat="1" ht="12.75" thickBot="1" x14ac:dyDescent="0.25">
      <c r="A2" s="1406" t="s">
        <v>1</v>
      </c>
      <c r="B2" s="1407"/>
      <c r="C2" s="1407"/>
      <c r="D2" s="1408"/>
      <c r="E2" s="1408"/>
      <c r="F2" s="1408"/>
      <c r="G2" s="1408"/>
      <c r="H2" s="1408"/>
      <c r="I2" s="1408"/>
      <c r="J2" s="1408"/>
      <c r="K2" s="1408"/>
      <c r="L2" s="1408"/>
      <c r="M2" s="1409"/>
      <c r="N2" s="478"/>
    </row>
    <row r="3" spans="1:14" s="479" customFormat="1" ht="12.75" thickBot="1" x14ac:dyDescent="0.3">
      <c r="A3" s="1410" t="s">
        <v>6</v>
      </c>
      <c r="B3" s="480" t="s">
        <v>17</v>
      </c>
      <c r="C3" s="481" t="s">
        <v>301</v>
      </c>
      <c r="D3" s="1412" t="s">
        <v>311</v>
      </c>
      <c r="E3" s="1413"/>
      <c r="F3" s="1414" t="s">
        <v>123</v>
      </c>
      <c r="G3" s="1413"/>
      <c r="H3" s="1414" t="s">
        <v>67</v>
      </c>
      <c r="I3" s="1413"/>
      <c r="J3" s="1414" t="s">
        <v>66</v>
      </c>
      <c r="K3" s="1413"/>
      <c r="L3" s="1414" t="s">
        <v>318</v>
      </c>
      <c r="M3" s="1413"/>
      <c r="N3" s="478"/>
    </row>
    <row r="4" spans="1:14" s="479" customFormat="1" ht="12.75" thickBot="1" x14ac:dyDescent="0.3">
      <c r="A4" s="1411"/>
      <c r="B4" s="482" t="s">
        <v>11</v>
      </c>
      <c r="C4" s="483" t="s">
        <v>0</v>
      </c>
      <c r="D4" s="484" t="s">
        <v>14</v>
      </c>
      <c r="E4" s="485" t="s">
        <v>10</v>
      </c>
      <c r="F4" s="484" t="s">
        <v>14</v>
      </c>
      <c r="G4" s="485" t="s">
        <v>10</v>
      </c>
      <c r="H4" s="484" t="s">
        <v>14</v>
      </c>
      <c r="I4" s="486" t="s">
        <v>10</v>
      </c>
      <c r="J4" s="484" t="s">
        <v>14</v>
      </c>
      <c r="K4" s="486" t="s">
        <v>10</v>
      </c>
      <c r="L4" s="484" t="s">
        <v>14</v>
      </c>
      <c r="M4" s="486" t="s">
        <v>10</v>
      </c>
      <c r="N4" s="478"/>
    </row>
    <row r="5" spans="1:14" s="494" customFormat="1" x14ac:dyDescent="0.2">
      <c r="A5" s="487">
        <v>1</v>
      </c>
      <c r="B5" s="488">
        <v>2</v>
      </c>
      <c r="C5" s="489" t="s">
        <v>302</v>
      </c>
      <c r="D5" s="490">
        <v>228.23</v>
      </c>
      <c r="E5" s="491">
        <f>+D5*$B5</f>
        <v>456.46</v>
      </c>
      <c r="F5" s="490" t="s">
        <v>36</v>
      </c>
      <c r="G5" s="491" t="s">
        <v>36</v>
      </c>
      <c r="H5" s="490">
        <v>204.2482</v>
      </c>
      <c r="I5" s="492">
        <f>+H5*$B5</f>
        <v>408.49639999999999</v>
      </c>
      <c r="J5" s="490">
        <v>265</v>
      </c>
      <c r="K5" s="492">
        <f>+J5*$B5</f>
        <v>530</v>
      </c>
      <c r="L5" s="490" t="s">
        <v>36</v>
      </c>
      <c r="M5" s="492" t="s">
        <v>36</v>
      </c>
      <c r="N5" s="493"/>
    </row>
    <row r="6" spans="1:14" s="494" customFormat="1" x14ac:dyDescent="0.2">
      <c r="A6" s="495">
        <v>2</v>
      </c>
      <c r="B6" s="496">
        <v>1</v>
      </c>
      <c r="C6" s="497" t="s">
        <v>303</v>
      </c>
      <c r="D6" s="498">
        <v>67.569999999999993</v>
      </c>
      <c r="E6" s="491">
        <f>+D6*$B6</f>
        <v>67.569999999999993</v>
      </c>
      <c r="F6" s="498">
        <v>86.73</v>
      </c>
      <c r="G6" s="491">
        <f>+F6*$B6</f>
        <v>86.73</v>
      </c>
      <c r="H6" s="498">
        <v>163.97069999999999</v>
      </c>
      <c r="I6" s="492">
        <f>+H6*$B6</f>
        <v>163.97069999999999</v>
      </c>
      <c r="J6" s="498">
        <v>120</v>
      </c>
      <c r="K6" s="492">
        <f t="shared" ref="K6:K8" si="0">+J6*$B6</f>
        <v>120</v>
      </c>
      <c r="L6" s="498" t="s">
        <v>36</v>
      </c>
      <c r="M6" s="492" t="s">
        <v>36</v>
      </c>
      <c r="N6" s="493"/>
    </row>
    <row r="7" spans="1:14" s="494" customFormat="1" x14ac:dyDescent="0.2">
      <c r="A7" s="495">
        <v>3</v>
      </c>
      <c r="B7" s="496">
        <v>1</v>
      </c>
      <c r="C7" s="497" t="s">
        <v>304</v>
      </c>
      <c r="D7" s="498">
        <v>447.23</v>
      </c>
      <c r="E7" s="491">
        <f>+D7*$B7</f>
        <v>447.23</v>
      </c>
      <c r="F7" s="498">
        <v>218.5</v>
      </c>
      <c r="G7" s="491">
        <f>+F7*$B7</f>
        <v>218.5</v>
      </c>
      <c r="H7" s="498">
        <v>172.2449</v>
      </c>
      <c r="I7" s="492">
        <f>+H7*$B7</f>
        <v>172.2449</v>
      </c>
      <c r="J7" s="498">
        <v>1850</v>
      </c>
      <c r="K7" s="492">
        <f t="shared" si="0"/>
        <v>1850</v>
      </c>
      <c r="L7" s="498" t="s">
        <v>36</v>
      </c>
      <c r="M7" s="492" t="s">
        <v>36</v>
      </c>
      <c r="N7" s="493"/>
    </row>
    <row r="8" spans="1:14" s="494" customFormat="1" x14ac:dyDescent="0.2">
      <c r="A8" s="495">
        <v>4</v>
      </c>
      <c r="B8" s="496">
        <v>1</v>
      </c>
      <c r="C8" s="497" t="s">
        <v>305</v>
      </c>
      <c r="D8" s="498" t="s">
        <v>36</v>
      </c>
      <c r="E8" s="491" t="s">
        <v>36</v>
      </c>
      <c r="F8" s="498" t="s">
        <v>36</v>
      </c>
      <c r="G8" s="491" t="s">
        <v>36</v>
      </c>
      <c r="H8" s="498" t="s">
        <v>36</v>
      </c>
      <c r="I8" s="492" t="s">
        <v>36</v>
      </c>
      <c r="J8" s="498">
        <v>410</v>
      </c>
      <c r="K8" s="492">
        <f t="shared" si="0"/>
        <v>410</v>
      </c>
      <c r="L8" s="498">
        <v>8125.83</v>
      </c>
      <c r="M8" s="492">
        <f>+L8*$B8</f>
        <v>8125.83</v>
      </c>
      <c r="N8" s="493"/>
    </row>
    <row r="9" spans="1:14" s="494" customFormat="1" x14ac:dyDescent="0.2">
      <c r="A9" s="487">
        <v>5</v>
      </c>
      <c r="B9" s="499">
        <v>200</v>
      </c>
      <c r="C9" s="500" t="s">
        <v>95</v>
      </c>
      <c r="D9" s="501" t="s">
        <v>36</v>
      </c>
      <c r="E9" s="491" t="s">
        <v>36</v>
      </c>
      <c r="F9" s="501">
        <f>115.9/100</f>
        <v>1.159</v>
      </c>
      <c r="G9" s="491">
        <f>+F9*B9</f>
        <v>231.8</v>
      </c>
      <c r="H9" s="501">
        <f>93.5577/100</f>
        <v>0.93557699999999999</v>
      </c>
      <c r="I9" s="492">
        <f>+H9*B9</f>
        <v>187.11539999999999</v>
      </c>
      <c r="J9" s="501">
        <v>2.15</v>
      </c>
      <c r="K9" s="492">
        <f>+J9*B9</f>
        <v>430</v>
      </c>
      <c r="L9" s="501" t="s">
        <v>36</v>
      </c>
      <c r="M9" s="492" t="s">
        <v>36</v>
      </c>
      <c r="N9" s="493"/>
    </row>
    <row r="10" spans="1:14" s="494" customFormat="1" x14ac:dyDescent="0.2">
      <c r="A10" s="495">
        <v>6</v>
      </c>
      <c r="B10" s="499">
        <v>1</v>
      </c>
      <c r="C10" s="500" t="s">
        <v>306</v>
      </c>
      <c r="D10" s="501">
        <v>4850.5600000000004</v>
      </c>
      <c r="E10" s="491">
        <f>+D10*$B10</f>
        <v>4850.5600000000004</v>
      </c>
      <c r="F10" s="501">
        <v>4648.5</v>
      </c>
      <c r="G10" s="491">
        <f>+F10*$B10</f>
        <v>4648.5</v>
      </c>
      <c r="H10" s="501">
        <v>5044.9016000000001</v>
      </c>
      <c r="I10" s="492">
        <f>+H10*$B10</f>
        <v>5044.9016000000001</v>
      </c>
      <c r="J10" s="501">
        <v>5545</v>
      </c>
      <c r="K10" s="492">
        <f>+J10*$B10</f>
        <v>5545</v>
      </c>
      <c r="L10" s="501" t="s">
        <v>36</v>
      </c>
      <c r="M10" s="492" t="s">
        <v>36</v>
      </c>
      <c r="N10" s="493"/>
    </row>
    <row r="11" spans="1:14" s="494" customFormat="1" x14ac:dyDescent="0.2">
      <c r="A11" s="495">
        <v>7</v>
      </c>
      <c r="B11" s="499">
        <v>1</v>
      </c>
      <c r="C11" s="500" t="s">
        <v>307</v>
      </c>
      <c r="D11" s="501" t="s">
        <v>36</v>
      </c>
      <c r="E11" s="491" t="s">
        <v>36</v>
      </c>
      <c r="F11" s="501">
        <v>223</v>
      </c>
      <c r="G11" s="491">
        <f>+F11*$B11</f>
        <v>223</v>
      </c>
      <c r="H11" s="501">
        <v>40.886899999999997</v>
      </c>
      <c r="I11" s="492">
        <f>+H11*$B11</f>
        <v>40.886899999999997</v>
      </c>
      <c r="J11" s="501">
        <v>230</v>
      </c>
      <c r="K11" s="492">
        <f>+J11*$B11</f>
        <v>230</v>
      </c>
      <c r="L11" s="501" t="s">
        <v>36</v>
      </c>
      <c r="M11" s="492" t="s">
        <v>36</v>
      </c>
      <c r="N11" s="493"/>
    </row>
    <row r="12" spans="1:14" s="494" customFormat="1" x14ac:dyDescent="0.2">
      <c r="A12" s="495">
        <v>8</v>
      </c>
      <c r="B12" s="499">
        <v>1</v>
      </c>
      <c r="C12" s="500" t="s">
        <v>308</v>
      </c>
      <c r="D12" s="501">
        <v>9009</v>
      </c>
      <c r="E12" s="491">
        <f>+D12*$B12</f>
        <v>9009</v>
      </c>
      <c r="F12" s="501">
        <v>6941.5</v>
      </c>
      <c r="G12" s="491">
        <f>+F12*$B12</f>
        <v>6941.5</v>
      </c>
      <c r="H12" s="501">
        <v>6950.5729000000001</v>
      </c>
      <c r="I12" s="492">
        <f>+H12*$B12</f>
        <v>6950.5729000000001</v>
      </c>
      <c r="J12" s="501" t="s">
        <v>36</v>
      </c>
      <c r="K12" s="492" t="s">
        <v>36</v>
      </c>
      <c r="L12" s="501" t="s">
        <v>36</v>
      </c>
      <c r="M12" s="492" t="s">
        <v>36</v>
      </c>
      <c r="N12" s="493"/>
    </row>
    <row r="13" spans="1:14" s="494" customFormat="1" x14ac:dyDescent="0.2">
      <c r="A13" s="487">
        <v>9</v>
      </c>
      <c r="B13" s="499">
        <v>1</v>
      </c>
      <c r="C13" s="500" t="s">
        <v>309</v>
      </c>
      <c r="D13" s="501">
        <v>1336.34</v>
      </c>
      <c r="E13" s="491">
        <f>+D13*$B13</f>
        <v>1336.34</v>
      </c>
      <c r="F13" s="501">
        <v>4588.8999999999996</v>
      </c>
      <c r="G13" s="491">
        <f>+F13*$B13</f>
        <v>4588.8999999999996</v>
      </c>
      <c r="H13" s="501" t="s">
        <v>36</v>
      </c>
      <c r="I13" s="492" t="s">
        <v>36</v>
      </c>
      <c r="J13" s="501" t="s">
        <v>36</v>
      </c>
      <c r="K13" s="492" t="s">
        <v>36</v>
      </c>
      <c r="L13" s="501" t="s">
        <v>36</v>
      </c>
      <c r="M13" s="492" t="s">
        <v>36</v>
      </c>
      <c r="N13" s="493"/>
    </row>
    <row r="14" spans="1:14" s="494" customFormat="1" ht="12.75" thickBot="1" x14ac:dyDescent="0.25">
      <c r="A14" s="495">
        <v>10</v>
      </c>
      <c r="B14" s="499">
        <v>1</v>
      </c>
      <c r="C14" s="500" t="s">
        <v>310</v>
      </c>
      <c r="D14" s="501">
        <v>1036.04</v>
      </c>
      <c r="E14" s="491">
        <f>+D14*$B14</f>
        <v>1036.04</v>
      </c>
      <c r="F14" s="501">
        <v>887.9</v>
      </c>
      <c r="G14" s="491">
        <f>+F14*$B14</f>
        <v>887.9</v>
      </c>
      <c r="H14" s="501">
        <v>766.84230000000002</v>
      </c>
      <c r="I14" s="492">
        <f>+H14*$B14</f>
        <v>766.84230000000002</v>
      </c>
      <c r="J14" s="501">
        <v>1230</v>
      </c>
      <c r="K14" s="492">
        <f>+J14*$B14</f>
        <v>1230</v>
      </c>
      <c r="L14" s="501" t="s">
        <v>36</v>
      </c>
      <c r="M14" s="492" t="s">
        <v>36</v>
      </c>
      <c r="N14" s="493"/>
    </row>
    <row r="15" spans="1:14" x14ac:dyDescent="0.2">
      <c r="A15" s="1415" t="s">
        <v>4</v>
      </c>
      <c r="B15" s="1416"/>
      <c r="C15" s="1417"/>
      <c r="D15" s="1404">
        <f>SUM(E5:E14)</f>
        <v>17203.2</v>
      </c>
      <c r="E15" s="1418"/>
      <c r="F15" s="1404">
        <f>SUM(G5:G14)</f>
        <v>17826.830000000002</v>
      </c>
      <c r="G15" s="1418"/>
      <c r="H15" s="1404">
        <f>SUM(I5:I14)</f>
        <v>13735.0311</v>
      </c>
      <c r="I15" s="1405"/>
      <c r="J15" s="1404">
        <f>SUM(K5:K14)</f>
        <v>10345</v>
      </c>
      <c r="K15" s="1405"/>
      <c r="L15" s="1404">
        <f>SUM(M5:M14)</f>
        <v>8125.83</v>
      </c>
      <c r="M15" s="1405"/>
    </row>
    <row r="16" spans="1:14" x14ac:dyDescent="0.2">
      <c r="A16" s="1419" t="s">
        <v>5</v>
      </c>
      <c r="B16" s="1420"/>
      <c r="C16" s="1421"/>
      <c r="D16" s="1422">
        <v>0</v>
      </c>
      <c r="E16" s="1423"/>
      <c r="F16" s="1422">
        <v>0</v>
      </c>
      <c r="G16" s="1423"/>
      <c r="H16" s="1422">
        <v>0</v>
      </c>
      <c r="I16" s="1424"/>
      <c r="J16" s="1422">
        <v>0</v>
      </c>
      <c r="K16" s="1424"/>
      <c r="L16" s="1422">
        <v>0</v>
      </c>
      <c r="M16" s="1424"/>
    </row>
    <row r="17" spans="1:13" x14ac:dyDescent="0.2">
      <c r="A17" s="1425" t="s">
        <v>2</v>
      </c>
      <c r="B17" s="1426"/>
      <c r="C17" s="1427"/>
      <c r="D17" s="1422">
        <f>(D15-D16)*15%</f>
        <v>2580.48</v>
      </c>
      <c r="E17" s="1423"/>
      <c r="F17" s="1422">
        <f>(F15-F16)*15%</f>
        <v>2674.0245</v>
      </c>
      <c r="G17" s="1423"/>
      <c r="H17" s="1422">
        <f>(H15-H16)*15%</f>
        <v>2060.2546649999999</v>
      </c>
      <c r="I17" s="1424"/>
      <c r="J17" s="1422">
        <v>0</v>
      </c>
      <c r="K17" s="1424"/>
      <c r="L17" s="1422">
        <f>(L15-L16)*15%</f>
        <v>1218.8744999999999</v>
      </c>
      <c r="M17" s="1424"/>
    </row>
    <row r="18" spans="1:13" ht="12.75" thickBot="1" x14ac:dyDescent="0.25">
      <c r="A18" s="1430" t="s">
        <v>3</v>
      </c>
      <c r="B18" s="1431"/>
      <c r="C18" s="1432"/>
      <c r="D18" s="1428">
        <f>(D15-D16)+D17</f>
        <v>19783.68</v>
      </c>
      <c r="E18" s="1433"/>
      <c r="F18" s="1428">
        <f>(F15-F16)+F17</f>
        <v>20500.854500000001</v>
      </c>
      <c r="G18" s="1433"/>
      <c r="H18" s="1428">
        <f>(H15-H16)+H17</f>
        <v>15795.285765000001</v>
      </c>
      <c r="I18" s="1429"/>
      <c r="J18" s="1428">
        <f>(J15-J16)+J17</f>
        <v>10345</v>
      </c>
      <c r="K18" s="1429"/>
      <c r="L18" s="1428">
        <f>(L15-L16)+L17</f>
        <v>9344.7044999999998</v>
      </c>
      <c r="M18" s="1429"/>
    </row>
    <row r="20" spans="1:13" x14ac:dyDescent="0.2">
      <c r="E20" s="502"/>
      <c r="F20" s="502"/>
      <c r="G20" s="502"/>
      <c r="I20" s="502"/>
      <c r="K20" s="502"/>
      <c r="M20" s="502"/>
    </row>
  </sheetData>
  <mergeCells count="31">
    <mergeCell ref="J18:K18"/>
    <mergeCell ref="A18:C18"/>
    <mergeCell ref="D18:E18"/>
    <mergeCell ref="F18:G18"/>
    <mergeCell ref="L18:M18"/>
    <mergeCell ref="H18:I18"/>
    <mergeCell ref="A16:C16"/>
    <mergeCell ref="D16:E16"/>
    <mergeCell ref="F16:G16"/>
    <mergeCell ref="L16:M16"/>
    <mergeCell ref="A17:C17"/>
    <mergeCell ref="D17:E17"/>
    <mergeCell ref="F17:G17"/>
    <mergeCell ref="L17:M17"/>
    <mergeCell ref="H16:I16"/>
    <mergeCell ref="H17:I17"/>
    <mergeCell ref="J16:K16"/>
    <mergeCell ref="J17:K17"/>
    <mergeCell ref="L15:M15"/>
    <mergeCell ref="A2:M2"/>
    <mergeCell ref="A3:A4"/>
    <mergeCell ref="D3:E3"/>
    <mergeCell ref="F3:G3"/>
    <mergeCell ref="L3:M3"/>
    <mergeCell ref="H3:I3"/>
    <mergeCell ref="H15:I15"/>
    <mergeCell ref="J3:K3"/>
    <mergeCell ref="J15:K15"/>
    <mergeCell ref="A15:C15"/>
    <mergeCell ref="D15:E15"/>
    <mergeCell ref="F15:G15"/>
  </mergeCells>
  <conditionalFormatting sqref="E5:E14 G5:G14 I5:I14 K5:K14 M5:M14">
    <cfRule type="expression" dxfId="371" priority="9">
      <formula>D5=""</formula>
    </cfRule>
    <cfRule type="expression" dxfId="370" priority="10">
      <formula>D5=MIN($D5,$F5,$H5,$J5,$L5)</formula>
    </cfRule>
  </conditionalFormatting>
  <pageMargins left="0.25" right="0.25" top="0.75" bottom="0.75" header="0.3" footer="0.3"/>
  <pageSetup orientation="landscape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A3F22-F7BD-4D8B-83F8-C433CCC9D7D7}">
  <sheetPr codeName="Hoja38"/>
  <dimension ref="B2:H11"/>
  <sheetViews>
    <sheetView showGridLines="0" workbookViewId="0">
      <selection activeCell="B3" sqref="B3:G3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7" width="14.140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2:8" ht="18" thickBot="1" x14ac:dyDescent="0.35"/>
    <row r="3" spans="2:8" s="2" customFormat="1" ht="18" thickBot="1" x14ac:dyDescent="0.35">
      <c r="B3" s="1211" t="s">
        <v>1</v>
      </c>
      <c r="C3" s="1212"/>
      <c r="D3" s="1212"/>
      <c r="E3" s="1213"/>
      <c r="F3" s="1213"/>
      <c r="G3" s="1214"/>
      <c r="H3" s="6"/>
    </row>
    <row r="4" spans="2:8" s="2" customFormat="1" ht="18" thickBot="1" x14ac:dyDescent="0.3">
      <c r="B4" s="1215" t="s">
        <v>6</v>
      </c>
      <c r="C4" s="29" t="s">
        <v>17</v>
      </c>
      <c r="D4" s="30" t="s">
        <v>312</v>
      </c>
      <c r="E4" s="461" t="s">
        <v>145</v>
      </c>
      <c r="F4" s="461" t="s">
        <v>314</v>
      </c>
      <c r="G4" s="461" t="s">
        <v>315</v>
      </c>
      <c r="H4" s="6"/>
    </row>
    <row r="5" spans="2:8" s="2" customFormat="1" ht="18" thickBot="1" x14ac:dyDescent="0.3">
      <c r="B5" s="1216"/>
      <c r="C5" s="33" t="s">
        <v>11</v>
      </c>
      <c r="D5" s="21" t="s">
        <v>0</v>
      </c>
      <c r="E5" s="462" t="s">
        <v>10</v>
      </c>
      <c r="F5" s="462" t="s">
        <v>10</v>
      </c>
      <c r="G5" s="32" t="s">
        <v>10</v>
      </c>
      <c r="H5" s="6"/>
    </row>
    <row r="6" spans="2:8" s="3" customFormat="1" ht="18" thickBot="1" x14ac:dyDescent="0.35">
      <c r="B6" s="467">
        <v>1</v>
      </c>
      <c r="C6" s="316">
        <v>1</v>
      </c>
      <c r="D6" s="317" t="s">
        <v>313</v>
      </c>
      <c r="E6" s="318">
        <v>3945</v>
      </c>
      <c r="F6" s="318">
        <v>4450</v>
      </c>
      <c r="G6" s="475">
        <f>92*TC!C3</f>
        <v>3283.9216000000001</v>
      </c>
      <c r="H6" s="7"/>
    </row>
    <row r="7" spans="2:8" x14ac:dyDescent="0.3">
      <c r="B7" s="1217" t="s">
        <v>5</v>
      </c>
      <c r="C7" s="1218"/>
      <c r="D7" s="1218"/>
      <c r="E7" s="459">
        <v>0</v>
      </c>
      <c r="F7" s="459">
        <v>0</v>
      </c>
      <c r="G7" s="460">
        <v>0</v>
      </c>
    </row>
    <row r="8" spans="2:8" x14ac:dyDescent="0.3">
      <c r="B8" s="1208" t="s">
        <v>2</v>
      </c>
      <c r="C8" s="1209"/>
      <c r="D8" s="1209"/>
      <c r="E8" s="463">
        <f>+E6*0.15</f>
        <v>591.75</v>
      </c>
      <c r="F8" s="463">
        <f t="shared" ref="F8:G8" si="0">+F6*0.15</f>
        <v>667.5</v>
      </c>
      <c r="G8" s="464">
        <f t="shared" si="0"/>
        <v>492.58823999999998</v>
      </c>
    </row>
    <row r="9" spans="2:8" ht="18" thickBot="1" x14ac:dyDescent="0.35">
      <c r="B9" s="1202" t="s">
        <v>3</v>
      </c>
      <c r="C9" s="1203"/>
      <c r="D9" s="1203"/>
      <c r="E9" s="465">
        <f>+E6+E8</f>
        <v>4536.75</v>
      </c>
      <c r="F9" s="465">
        <f t="shared" ref="F9:G9" si="1">+F6+F8</f>
        <v>5117.5</v>
      </c>
      <c r="G9" s="466">
        <f t="shared" si="1"/>
        <v>3776.5098400000002</v>
      </c>
    </row>
    <row r="11" spans="2:8" x14ac:dyDescent="0.3">
      <c r="E11" s="4"/>
      <c r="F11" s="4"/>
      <c r="G11" s="4"/>
    </row>
  </sheetData>
  <mergeCells count="5">
    <mergeCell ref="B9:D9"/>
    <mergeCell ref="B7:D7"/>
    <mergeCell ref="B8:D8"/>
    <mergeCell ref="B3:G3"/>
    <mergeCell ref="B4:B5"/>
  </mergeCells>
  <conditionalFormatting sqref="E6:G6">
    <cfRule type="expression" dxfId="369" priority="135">
      <formula>#REF!=""</formula>
    </cfRule>
    <cfRule type="expression" dxfId="368" priority="136">
      <formula>#REF!=MIN(#REF!,#REF!,#REF!)</formula>
    </cfRule>
  </conditionalFormatting>
  <pageMargins left="0.25" right="0.25" top="0.75" bottom="0.75" header="0.3" footer="0.3"/>
  <pageSetup orientation="landscape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0043-F96C-4917-ACAB-CFBBED6DEDBF}">
  <sheetPr codeName="Hoja39"/>
  <dimension ref="B2:H11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7" width="14.140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2:8" ht="18" thickBot="1" x14ac:dyDescent="0.35"/>
    <row r="3" spans="2:8" s="2" customFormat="1" ht="18" thickBot="1" x14ac:dyDescent="0.35">
      <c r="B3" s="1211" t="s">
        <v>1</v>
      </c>
      <c r="C3" s="1212"/>
      <c r="D3" s="1212"/>
      <c r="E3" s="1213"/>
      <c r="F3" s="1213"/>
      <c r="G3" s="1214"/>
      <c r="H3" s="6"/>
    </row>
    <row r="4" spans="2:8" s="2" customFormat="1" ht="18" thickBot="1" x14ac:dyDescent="0.3">
      <c r="B4" s="1215" t="s">
        <v>6</v>
      </c>
      <c r="C4" s="29" t="s">
        <v>17</v>
      </c>
      <c r="D4" s="30" t="s">
        <v>316</v>
      </c>
      <c r="E4" s="461" t="s">
        <v>145</v>
      </c>
      <c r="F4" s="461" t="s">
        <v>314</v>
      </c>
      <c r="G4" s="461" t="s">
        <v>315</v>
      </c>
      <c r="H4" s="6"/>
    </row>
    <row r="5" spans="2:8" s="2" customFormat="1" ht="18" thickBot="1" x14ac:dyDescent="0.3">
      <c r="B5" s="1216"/>
      <c r="C5" s="33" t="s">
        <v>11</v>
      </c>
      <c r="D5" s="21" t="s">
        <v>0</v>
      </c>
      <c r="E5" s="462" t="s">
        <v>10</v>
      </c>
      <c r="F5" s="462" t="s">
        <v>10</v>
      </c>
      <c r="G5" s="32" t="s">
        <v>10</v>
      </c>
      <c r="H5" s="6"/>
    </row>
    <row r="6" spans="2:8" s="3" customFormat="1" ht="18" thickBot="1" x14ac:dyDescent="0.35">
      <c r="B6" s="467">
        <v>1</v>
      </c>
      <c r="C6" s="316">
        <v>1</v>
      </c>
      <c r="D6" s="317" t="s">
        <v>317</v>
      </c>
      <c r="E6" s="318">
        <v>5350</v>
      </c>
      <c r="F6" s="318">
        <v>4700</v>
      </c>
      <c r="G6" s="475">
        <f>120*TC!C3</f>
        <v>4283.3760000000002</v>
      </c>
      <c r="H6" s="7"/>
    </row>
    <row r="7" spans="2:8" x14ac:dyDescent="0.3">
      <c r="B7" s="1217" t="s">
        <v>5</v>
      </c>
      <c r="C7" s="1218"/>
      <c r="D7" s="1218"/>
      <c r="E7" s="459">
        <v>0</v>
      </c>
      <c r="F7" s="459">
        <v>0</v>
      </c>
      <c r="G7" s="460">
        <v>0</v>
      </c>
    </row>
    <row r="8" spans="2:8" x14ac:dyDescent="0.3">
      <c r="B8" s="1208" t="s">
        <v>2</v>
      </c>
      <c r="C8" s="1209"/>
      <c r="D8" s="1209"/>
      <c r="E8" s="463">
        <f>+E6*0.15</f>
        <v>802.5</v>
      </c>
      <c r="F8" s="463">
        <f t="shared" ref="F8:G8" si="0">+F6*0.15</f>
        <v>705</v>
      </c>
      <c r="G8" s="464">
        <f t="shared" si="0"/>
        <v>642.50639999999999</v>
      </c>
    </row>
    <row r="9" spans="2:8" ht="18" thickBot="1" x14ac:dyDescent="0.35">
      <c r="B9" s="1202" t="s">
        <v>3</v>
      </c>
      <c r="C9" s="1203"/>
      <c r="D9" s="1203"/>
      <c r="E9" s="465">
        <f>+E6+E8</f>
        <v>6152.5</v>
      </c>
      <c r="F9" s="465">
        <f t="shared" ref="F9:G9" si="1">+F6+F8</f>
        <v>5405</v>
      </c>
      <c r="G9" s="466">
        <f t="shared" si="1"/>
        <v>4925.8824000000004</v>
      </c>
    </row>
    <row r="11" spans="2:8" x14ac:dyDescent="0.3">
      <c r="E11" s="4"/>
      <c r="F11" s="4"/>
      <c r="G11" s="4"/>
    </row>
  </sheetData>
  <mergeCells count="5">
    <mergeCell ref="B3:G3"/>
    <mergeCell ref="B4:B5"/>
    <mergeCell ref="B7:D7"/>
    <mergeCell ref="B8:D8"/>
    <mergeCell ref="B9:D9"/>
  </mergeCells>
  <conditionalFormatting sqref="E6:G6">
    <cfRule type="expression" dxfId="367" priority="1">
      <formula>#REF!=""</formula>
    </cfRule>
    <cfRule type="expression" dxfId="366" priority="2">
      <formula>#REF!=MIN(#REF!,#REF!,#REF!)</formula>
    </cfRule>
  </conditionalFormatting>
  <pageMargins left="0.25" right="0.25" top="0.75" bottom="0.75" header="0.3" footer="0.3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17DB98-F279-4594-AD9C-9EE03D3086D9}">
  <sheetPr codeName="Hoja4"/>
  <dimension ref="A3:N22"/>
  <sheetViews>
    <sheetView showGridLines="0" workbookViewId="0">
      <selection activeCell="L5" sqref="L5:M5"/>
    </sheetView>
  </sheetViews>
  <sheetFormatPr baseColWidth="10" defaultRowHeight="12.75" x14ac:dyDescent="0.25"/>
  <cols>
    <col min="1" max="1" width="2.5703125" style="73" bestFit="1" customWidth="1"/>
    <col min="2" max="2" width="5.28515625" style="73" bestFit="1" customWidth="1"/>
    <col min="3" max="3" width="14.5703125" style="73" bestFit="1" customWidth="1"/>
    <col min="4" max="4" width="11" style="73" bestFit="1" customWidth="1"/>
    <col min="5" max="5" width="12" style="73" bestFit="1" customWidth="1"/>
    <col min="6" max="6" width="11" style="73" bestFit="1" customWidth="1"/>
    <col min="7" max="7" width="12" style="73" bestFit="1" customWidth="1"/>
    <col min="8" max="8" width="11" style="73" bestFit="1" customWidth="1"/>
    <col min="9" max="9" width="12" style="73" bestFit="1" customWidth="1"/>
    <col min="10" max="10" width="9.5703125" style="73" bestFit="1" customWidth="1"/>
    <col min="11" max="11" width="11" style="73" bestFit="1" customWidth="1"/>
    <col min="12" max="12" width="9.5703125" style="73" bestFit="1" customWidth="1"/>
    <col min="13" max="13" width="11" style="73" bestFit="1" customWidth="1"/>
    <col min="14" max="14" width="13.42578125" style="74" bestFit="1" customWidth="1"/>
    <col min="15" max="15" width="13.42578125" style="73" bestFit="1" customWidth="1"/>
    <col min="16" max="16384" width="11.42578125" style="73"/>
  </cols>
  <sheetData>
    <row r="3" spans="1:14" ht="13.5" thickBot="1" x14ac:dyDescent="0.3"/>
    <row r="4" spans="1:14" ht="13.5" thickBot="1" x14ac:dyDescent="0.3">
      <c r="A4" s="1142" t="s">
        <v>1</v>
      </c>
      <c r="B4" s="1143"/>
      <c r="C4" s="1143"/>
      <c r="D4" s="1143"/>
      <c r="E4" s="1143"/>
      <c r="F4" s="1143"/>
      <c r="G4" s="1143"/>
      <c r="H4" s="1143"/>
      <c r="I4" s="1143"/>
      <c r="J4" s="1143"/>
      <c r="K4" s="1143"/>
      <c r="L4" s="1143"/>
      <c r="M4" s="1144"/>
    </row>
    <row r="5" spans="1:14" x14ac:dyDescent="0.25">
      <c r="A5" s="1145" t="s">
        <v>6</v>
      </c>
      <c r="B5" s="75" t="s">
        <v>17</v>
      </c>
      <c r="C5" s="76" t="s">
        <v>44</v>
      </c>
      <c r="D5" s="1147" t="s">
        <v>49</v>
      </c>
      <c r="E5" s="1147"/>
      <c r="F5" s="1147" t="s">
        <v>50</v>
      </c>
      <c r="G5" s="1147"/>
      <c r="H5" s="1147" t="s">
        <v>51</v>
      </c>
      <c r="I5" s="1147"/>
      <c r="J5" s="1147" t="s">
        <v>52</v>
      </c>
      <c r="K5" s="1147"/>
      <c r="L5" s="1147" t="s">
        <v>53</v>
      </c>
      <c r="M5" s="1148"/>
    </row>
    <row r="6" spans="1:14" ht="13.5" thickBot="1" x14ac:dyDescent="0.3">
      <c r="A6" s="1146"/>
      <c r="B6" s="77" t="s">
        <v>11</v>
      </c>
      <c r="C6" s="78" t="s">
        <v>0</v>
      </c>
      <c r="D6" s="78" t="s">
        <v>14</v>
      </c>
      <c r="E6" s="78" t="s">
        <v>10</v>
      </c>
      <c r="F6" s="78" t="s">
        <v>14</v>
      </c>
      <c r="G6" s="78" t="s">
        <v>10</v>
      </c>
      <c r="H6" s="78" t="s">
        <v>14</v>
      </c>
      <c r="I6" s="78" t="s">
        <v>10</v>
      </c>
      <c r="J6" s="78" t="s">
        <v>14</v>
      </c>
      <c r="K6" s="78" t="s">
        <v>10</v>
      </c>
      <c r="L6" s="78" t="s">
        <v>14</v>
      </c>
      <c r="M6" s="79" t="s">
        <v>10</v>
      </c>
    </row>
    <row r="7" spans="1:14" s="86" customFormat="1" x14ac:dyDescent="0.25">
      <c r="A7" s="80">
        <v>1</v>
      </c>
      <c r="B7" s="81">
        <v>36</v>
      </c>
      <c r="C7" s="82" t="s">
        <v>45</v>
      </c>
      <c r="D7" s="83">
        <f>+E7/B7</f>
        <v>153.19194444444443</v>
      </c>
      <c r="E7" s="83">
        <v>5514.91</v>
      </c>
      <c r="F7" s="83">
        <v>160</v>
      </c>
      <c r="G7" s="83">
        <f>+F7*B7</f>
        <v>5760</v>
      </c>
      <c r="H7" s="83" t="s">
        <v>36</v>
      </c>
      <c r="I7" s="83" t="s">
        <v>36</v>
      </c>
      <c r="J7" s="83" t="s">
        <v>36</v>
      </c>
      <c r="K7" s="83" t="s">
        <v>36</v>
      </c>
      <c r="L7" s="83">
        <f>3.8795*35.87</f>
        <v>139.15766500000001</v>
      </c>
      <c r="M7" s="84">
        <f>+L7*B7</f>
        <v>5009.6759400000001</v>
      </c>
      <c r="N7" s="85"/>
    </row>
    <row r="8" spans="1:14" s="86" customFormat="1" x14ac:dyDescent="0.25">
      <c r="A8" s="87">
        <v>2</v>
      </c>
      <c r="B8" s="88">
        <v>4</v>
      </c>
      <c r="C8" s="89" t="s">
        <v>46</v>
      </c>
      <c r="D8" s="90">
        <f>+E8/B8</f>
        <v>175.88749999999999</v>
      </c>
      <c r="E8" s="90">
        <v>703.55</v>
      </c>
      <c r="F8" s="90">
        <v>200</v>
      </c>
      <c r="G8" s="90">
        <f t="shared" ref="G8:G10" si="0">+F8*B8</f>
        <v>800</v>
      </c>
      <c r="H8" s="90">
        <v>250</v>
      </c>
      <c r="I8" s="90">
        <f>+H8*B8</f>
        <v>1000</v>
      </c>
      <c r="J8" s="90">
        <v>694.58</v>
      </c>
      <c r="K8" s="90">
        <f>+J8*B8</f>
        <v>2778.32</v>
      </c>
      <c r="L8" s="90" t="s">
        <v>36</v>
      </c>
      <c r="M8" s="91" t="s">
        <v>36</v>
      </c>
      <c r="N8" s="85"/>
    </row>
    <row r="9" spans="1:14" s="86" customFormat="1" x14ac:dyDescent="0.25">
      <c r="A9" s="87">
        <v>3</v>
      </c>
      <c r="B9" s="88">
        <v>4</v>
      </c>
      <c r="C9" s="89" t="s">
        <v>47</v>
      </c>
      <c r="D9" s="90">
        <f>+E9/B9</f>
        <v>246.8075</v>
      </c>
      <c r="E9" s="90">
        <v>987.23</v>
      </c>
      <c r="F9" s="90">
        <v>500</v>
      </c>
      <c r="G9" s="90">
        <f t="shared" si="0"/>
        <v>2000</v>
      </c>
      <c r="H9" s="90">
        <v>250</v>
      </c>
      <c r="I9" s="90">
        <f>+H9*B9</f>
        <v>1000</v>
      </c>
      <c r="J9" s="90">
        <v>636.73</v>
      </c>
      <c r="K9" s="90">
        <f t="shared" ref="K9:K10" si="1">+J9*B9</f>
        <v>2546.92</v>
      </c>
      <c r="L9" s="90" t="s">
        <v>36</v>
      </c>
      <c r="M9" s="91" t="s">
        <v>36</v>
      </c>
      <c r="N9" s="85"/>
    </row>
    <row r="10" spans="1:14" s="86" customFormat="1" ht="13.5" thickBot="1" x14ac:dyDescent="0.3">
      <c r="A10" s="92">
        <v>4</v>
      </c>
      <c r="B10" s="93">
        <v>4</v>
      </c>
      <c r="C10" s="94" t="s">
        <v>48</v>
      </c>
      <c r="D10" s="95">
        <f>+E10/B10</f>
        <v>218.44</v>
      </c>
      <c r="E10" s="95">
        <v>873.76</v>
      </c>
      <c r="F10" s="95">
        <v>300</v>
      </c>
      <c r="G10" s="95">
        <f t="shared" si="0"/>
        <v>1200</v>
      </c>
      <c r="H10" s="95">
        <v>180</v>
      </c>
      <c r="I10" s="95">
        <f>+H10*B10</f>
        <v>720</v>
      </c>
      <c r="J10" s="95">
        <v>333.02</v>
      </c>
      <c r="K10" s="90">
        <f t="shared" si="1"/>
        <v>1332.08</v>
      </c>
      <c r="L10" s="95" t="s">
        <v>36</v>
      </c>
      <c r="M10" s="96" t="s">
        <v>36</v>
      </c>
      <c r="N10" s="85"/>
    </row>
    <row r="11" spans="1:14" x14ac:dyDescent="0.25">
      <c r="A11" s="1138" t="s">
        <v>4</v>
      </c>
      <c r="B11" s="1139"/>
      <c r="C11" s="1139"/>
      <c r="D11" s="1140">
        <f>SUM(E7:E10)</f>
        <v>8079.4500000000007</v>
      </c>
      <c r="E11" s="1140"/>
      <c r="F11" s="1140">
        <f>SUM(G7:G10)</f>
        <v>9760</v>
      </c>
      <c r="G11" s="1140"/>
      <c r="H11" s="1140">
        <f>SUM(I7:I10)</f>
        <v>2720</v>
      </c>
      <c r="I11" s="1140"/>
      <c r="J11" s="1140">
        <f>SUM(K7:K10)</f>
        <v>6657.32</v>
      </c>
      <c r="K11" s="1140"/>
      <c r="L11" s="1140">
        <f>SUM(M7:M10)</f>
        <v>5009.6759400000001</v>
      </c>
      <c r="M11" s="1141"/>
    </row>
    <row r="12" spans="1:14" x14ac:dyDescent="0.25">
      <c r="A12" s="1149" t="s">
        <v>5</v>
      </c>
      <c r="B12" s="1150"/>
      <c r="C12" s="1150"/>
      <c r="D12" s="1151">
        <v>0</v>
      </c>
      <c r="E12" s="1151"/>
      <c r="F12" s="1151">
        <v>0</v>
      </c>
      <c r="G12" s="1151"/>
      <c r="H12" s="1151">
        <v>0</v>
      </c>
      <c r="I12" s="1151"/>
      <c r="J12" s="1151">
        <v>1664.33</v>
      </c>
      <c r="K12" s="1151"/>
      <c r="L12" s="1152">
        <v>0.3</v>
      </c>
      <c r="M12" s="1153"/>
    </row>
    <row r="13" spans="1:14" x14ac:dyDescent="0.25">
      <c r="A13" s="1149" t="s">
        <v>2</v>
      </c>
      <c r="B13" s="1150"/>
      <c r="C13" s="1150"/>
      <c r="D13" s="1151">
        <f>(D11-D12)*15%</f>
        <v>1211.9175</v>
      </c>
      <c r="E13" s="1151"/>
      <c r="F13" s="1151">
        <v>0</v>
      </c>
      <c r="G13" s="1151"/>
      <c r="H13" s="1151">
        <v>0</v>
      </c>
      <c r="I13" s="1151"/>
      <c r="J13" s="1151">
        <f>(J11-J12)*15%</f>
        <v>748.94849999999997</v>
      </c>
      <c r="K13" s="1151"/>
      <c r="L13" s="1151">
        <f>L11*15%</f>
        <v>751.45139099999994</v>
      </c>
      <c r="M13" s="1154"/>
    </row>
    <row r="14" spans="1:14" ht="13.5" thickBot="1" x14ac:dyDescent="0.3">
      <c r="A14" s="1161" t="s">
        <v>3</v>
      </c>
      <c r="B14" s="1162"/>
      <c r="C14" s="1162"/>
      <c r="D14" s="1155">
        <f>(D11-D12)+D13</f>
        <v>9291.3675000000003</v>
      </c>
      <c r="E14" s="1155"/>
      <c r="F14" s="1155">
        <f>(F11-F12)+F13</f>
        <v>9760</v>
      </c>
      <c r="G14" s="1155"/>
      <c r="H14" s="1155">
        <f>(H11-H12)+H13</f>
        <v>2720</v>
      </c>
      <c r="I14" s="1155"/>
      <c r="J14" s="1155">
        <f>(J11-J12)+J13</f>
        <v>5741.9385000000002</v>
      </c>
      <c r="K14" s="1155"/>
      <c r="L14" s="1155">
        <f>L11+L13</f>
        <v>5761.1273309999997</v>
      </c>
      <c r="M14" s="1156"/>
    </row>
    <row r="15" spans="1:14" ht="13.5" thickBot="1" x14ac:dyDescent="0.3"/>
    <row r="16" spans="1:14" ht="13.5" thickBot="1" x14ac:dyDescent="0.3">
      <c r="A16" s="1163" t="s">
        <v>6</v>
      </c>
      <c r="B16" s="97" t="s">
        <v>17</v>
      </c>
      <c r="C16" s="98" t="s">
        <v>57</v>
      </c>
      <c r="D16" s="1165" t="s">
        <v>53</v>
      </c>
      <c r="E16" s="1144"/>
      <c r="F16" s="1142" t="s">
        <v>55</v>
      </c>
      <c r="G16" s="1144"/>
      <c r="H16" s="1142" t="s">
        <v>56</v>
      </c>
      <c r="I16" s="1144"/>
      <c r="K16" s="99"/>
      <c r="M16" s="99"/>
    </row>
    <row r="17" spans="1:9" ht="13.5" thickBot="1" x14ac:dyDescent="0.3">
      <c r="A17" s="1164"/>
      <c r="B17" s="100" t="s">
        <v>11</v>
      </c>
      <c r="C17" s="101" t="s">
        <v>0</v>
      </c>
      <c r="D17" s="102" t="s">
        <v>14</v>
      </c>
      <c r="E17" s="103" t="s">
        <v>10</v>
      </c>
      <c r="F17" s="102" t="s">
        <v>14</v>
      </c>
      <c r="G17" s="103" t="s">
        <v>10</v>
      </c>
      <c r="H17" s="102" t="s">
        <v>14</v>
      </c>
      <c r="I17" s="104" t="s">
        <v>10</v>
      </c>
    </row>
    <row r="18" spans="1:9" ht="13.5" thickBot="1" x14ac:dyDescent="0.3">
      <c r="A18" s="80">
        <v>1</v>
      </c>
      <c r="B18" s="81">
        <v>8</v>
      </c>
      <c r="C18" s="82" t="s">
        <v>54</v>
      </c>
      <c r="D18" s="105">
        <f>112.69*35.87</f>
        <v>4042.1902999999998</v>
      </c>
      <c r="E18" s="106">
        <f>+D18*B18</f>
        <v>32337.522399999998</v>
      </c>
      <c r="F18" s="105">
        <f>(151.7+0.5)*TC!C3</f>
        <v>5432.74856</v>
      </c>
      <c r="G18" s="106">
        <f>+F18*B18</f>
        <v>43461.98848</v>
      </c>
      <c r="H18" s="105">
        <v>4064.5790000000002</v>
      </c>
      <c r="I18" s="107">
        <f>+H18*B18</f>
        <v>32516.632000000001</v>
      </c>
    </row>
    <row r="19" spans="1:9" x14ac:dyDescent="0.25">
      <c r="A19" s="1138" t="s">
        <v>4</v>
      </c>
      <c r="B19" s="1139"/>
      <c r="C19" s="1157"/>
      <c r="D19" s="1158">
        <f>SUM(E18:E18)</f>
        <v>32337.522399999998</v>
      </c>
      <c r="E19" s="1159"/>
      <c r="F19" s="1158">
        <f>SUM(G18:G18)</f>
        <v>43461.98848</v>
      </c>
      <c r="G19" s="1159"/>
      <c r="H19" s="1158">
        <f>SUM(I18:I18)</f>
        <v>32516.632000000001</v>
      </c>
      <c r="I19" s="1160"/>
    </row>
    <row r="20" spans="1:9" x14ac:dyDescent="0.25">
      <c r="A20" s="1149" t="s">
        <v>5</v>
      </c>
      <c r="B20" s="1150"/>
      <c r="C20" s="1172"/>
      <c r="D20" s="1173">
        <f>+D19-(676.16*35.87)</f>
        <v>8083.6632000000027</v>
      </c>
      <c r="E20" s="1174"/>
      <c r="F20" s="1173">
        <f>388.32*TC!C3</f>
        <v>13861.004736000001</v>
      </c>
      <c r="G20" s="1174"/>
      <c r="H20" s="1173">
        <v>0</v>
      </c>
      <c r="I20" s="1175"/>
    </row>
    <row r="21" spans="1:9" x14ac:dyDescent="0.25">
      <c r="A21" s="1149" t="s">
        <v>2</v>
      </c>
      <c r="B21" s="1150"/>
      <c r="C21" s="1172"/>
      <c r="D21" s="1173">
        <f>(D19-D20)*15%</f>
        <v>3638.0788799999991</v>
      </c>
      <c r="E21" s="1174"/>
      <c r="F21" s="1173">
        <f>(F19-F20)*15%</f>
        <v>4440.1475615999998</v>
      </c>
      <c r="G21" s="1174"/>
      <c r="H21" s="1173">
        <f>(H19-H20)*15%</f>
        <v>4877.4948000000004</v>
      </c>
      <c r="I21" s="1175"/>
    </row>
    <row r="22" spans="1:9" ht="13.5" thickBot="1" x14ac:dyDescent="0.3">
      <c r="A22" s="1161" t="s">
        <v>3</v>
      </c>
      <c r="B22" s="1162"/>
      <c r="C22" s="1166"/>
      <c r="D22" s="1167">
        <f>(D19-D20)+D21</f>
        <v>27891.938079999993</v>
      </c>
      <c r="E22" s="1168"/>
      <c r="F22" s="1169">
        <f>(F19-F20)+F21</f>
        <v>34041.1313056</v>
      </c>
      <c r="G22" s="1170"/>
      <c r="H22" s="1169">
        <f>(H19-H20)+H21</f>
        <v>37394.126799999998</v>
      </c>
      <c r="I22" s="1171"/>
    </row>
  </sheetData>
  <mergeCells count="51">
    <mergeCell ref="A22:C22"/>
    <mergeCell ref="D22:E22"/>
    <mergeCell ref="F22:G22"/>
    <mergeCell ref="H22:I22"/>
    <mergeCell ref="A20:C20"/>
    <mergeCell ref="D20:E20"/>
    <mergeCell ref="F20:G20"/>
    <mergeCell ref="H20:I20"/>
    <mergeCell ref="A21:C21"/>
    <mergeCell ref="D21:E21"/>
    <mergeCell ref="F21:G21"/>
    <mergeCell ref="H21:I21"/>
    <mergeCell ref="A19:C19"/>
    <mergeCell ref="D19:E19"/>
    <mergeCell ref="F19:G19"/>
    <mergeCell ref="H19:I19"/>
    <mergeCell ref="A14:C14"/>
    <mergeCell ref="D14:E14"/>
    <mergeCell ref="F14:G14"/>
    <mergeCell ref="A16:A17"/>
    <mergeCell ref="D16:E16"/>
    <mergeCell ref="F16:G16"/>
    <mergeCell ref="H16:I16"/>
    <mergeCell ref="L14:M14"/>
    <mergeCell ref="H5:I5"/>
    <mergeCell ref="H11:I11"/>
    <mergeCell ref="H12:I12"/>
    <mergeCell ref="H13:I13"/>
    <mergeCell ref="H14:I14"/>
    <mergeCell ref="J5:K5"/>
    <mergeCell ref="J14:K14"/>
    <mergeCell ref="A12:C12"/>
    <mergeCell ref="D12:E12"/>
    <mergeCell ref="F12:G12"/>
    <mergeCell ref="L12:M12"/>
    <mergeCell ref="A13:C13"/>
    <mergeCell ref="D13:E13"/>
    <mergeCell ref="F13:G13"/>
    <mergeCell ref="L13:M13"/>
    <mergeCell ref="J12:K12"/>
    <mergeCell ref="J13:K13"/>
    <mergeCell ref="A4:M4"/>
    <mergeCell ref="A5:A6"/>
    <mergeCell ref="D5:E5"/>
    <mergeCell ref="F5:G5"/>
    <mergeCell ref="L5:M5"/>
    <mergeCell ref="A11:C11"/>
    <mergeCell ref="D11:E11"/>
    <mergeCell ref="F11:G11"/>
    <mergeCell ref="L11:M11"/>
    <mergeCell ref="J11:K11"/>
  </mergeCells>
  <conditionalFormatting sqref="E7:E10 G7:G10 M7:M10 I7:I10 G18 I18">
    <cfRule type="expression" dxfId="534" priority="11">
      <formula>D7=""</formula>
    </cfRule>
    <cfRule type="expression" dxfId="533" priority="12">
      <formula>D7=MIN($D7,$F7,$L7)</formula>
    </cfRule>
  </conditionalFormatting>
  <conditionalFormatting sqref="K7:K10">
    <cfRule type="expression" dxfId="532" priority="3">
      <formula>J7=""</formula>
    </cfRule>
    <cfRule type="expression" dxfId="531" priority="4">
      <formula>J7=MIN($D7,$F7,$L7)</formula>
    </cfRule>
  </conditionalFormatting>
  <pageMargins left="0.25" right="0.25" top="0.75" bottom="0.75" header="0.3" footer="0.3"/>
  <pageSetup orientation="landscape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5EB93-B8A7-49E9-ABFC-387B64F461DE}">
  <sheetPr codeName="Hoja40"/>
  <dimension ref="B2:G8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1" style="1" bestFit="1" customWidth="1"/>
    <col min="5" max="6" width="15.42578125" style="1" bestFit="1" customWidth="1"/>
    <col min="7" max="7" width="13.42578125" style="5" bestFit="1" customWidth="1"/>
    <col min="8" max="8" width="13.42578125" style="1" bestFit="1" customWidth="1"/>
    <col min="9" max="16384" width="11.42578125" style="1"/>
  </cols>
  <sheetData>
    <row r="2" spans="2:7" s="2" customFormat="1" ht="18" thickBot="1" x14ac:dyDescent="0.3">
      <c r="G2" s="6"/>
    </row>
    <row r="3" spans="2:7" s="3" customFormat="1" ht="18" thickBot="1" x14ac:dyDescent="0.35">
      <c r="B3" s="1341" t="s">
        <v>1</v>
      </c>
      <c r="C3" s="1342"/>
      <c r="D3" s="1342"/>
      <c r="E3" s="1342"/>
      <c r="F3" s="1343"/>
      <c r="G3" s="7"/>
    </row>
    <row r="4" spans="2:7" ht="18" thickBot="1" x14ac:dyDescent="0.35">
      <c r="B4" s="1334" t="s">
        <v>6</v>
      </c>
      <c r="C4" s="29" t="s">
        <v>17</v>
      </c>
      <c r="D4" s="30" t="s">
        <v>319</v>
      </c>
      <c r="E4" s="470" t="s">
        <v>234</v>
      </c>
      <c r="F4" s="470" t="s">
        <v>92</v>
      </c>
    </row>
    <row r="5" spans="2:7" ht="18" thickBot="1" x14ac:dyDescent="0.35">
      <c r="B5" s="1216"/>
      <c r="C5" s="33" t="s">
        <v>11</v>
      </c>
      <c r="D5" s="21" t="s">
        <v>0</v>
      </c>
      <c r="E5" s="471" t="s">
        <v>10</v>
      </c>
      <c r="F5" s="32" t="s">
        <v>10</v>
      </c>
    </row>
    <row r="6" spans="2:7" ht="18" thickBot="1" x14ac:dyDescent="0.35">
      <c r="B6" s="474">
        <v>1</v>
      </c>
      <c r="C6" s="316">
        <v>1</v>
      </c>
      <c r="D6" s="317" t="s">
        <v>233</v>
      </c>
      <c r="E6" s="318">
        <v>14500</v>
      </c>
      <c r="F6" s="319">
        <v>16076.48</v>
      </c>
    </row>
    <row r="7" spans="2:7" x14ac:dyDescent="0.3">
      <c r="B7" s="1335" t="s">
        <v>2</v>
      </c>
      <c r="C7" s="1336"/>
      <c r="D7" s="1337"/>
      <c r="E7" s="468">
        <v>0</v>
      </c>
      <c r="F7" s="469">
        <v>2411.4699999999998</v>
      </c>
    </row>
    <row r="8" spans="2:7" ht="18" thickBot="1" x14ac:dyDescent="0.35">
      <c r="B8" s="1338" t="s">
        <v>3</v>
      </c>
      <c r="C8" s="1339"/>
      <c r="D8" s="1340"/>
      <c r="E8" s="472">
        <f>+E6</f>
        <v>14500</v>
      </c>
      <c r="F8" s="473">
        <f>+F6+F7</f>
        <v>18487.95</v>
      </c>
    </row>
  </sheetData>
  <mergeCells count="4">
    <mergeCell ref="B3:F3"/>
    <mergeCell ref="B4:B5"/>
    <mergeCell ref="B7:D7"/>
    <mergeCell ref="B8:D8"/>
  </mergeCells>
  <conditionalFormatting sqref="E6:F6">
    <cfRule type="expression" dxfId="365" priority="1">
      <formula>#REF!=""</formula>
    </cfRule>
    <cfRule type="expression" dxfId="364" priority="2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8DFEF-0027-45FB-A420-ACB30EAC6A95}">
  <sheetPr codeName="Hoja41"/>
  <dimension ref="A1:N17"/>
  <sheetViews>
    <sheetView showGridLines="0" workbookViewId="0">
      <selection activeCell="C4" sqref="C4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5.7109375" style="367" bestFit="1" customWidth="1"/>
    <col min="4" max="4" width="10.140625" style="367" bestFit="1" customWidth="1"/>
    <col min="5" max="5" width="11.7109375" style="367" bestFit="1" customWidth="1"/>
    <col min="6" max="6" width="10.140625" style="367" bestFit="1" customWidth="1"/>
    <col min="7" max="7" width="11.7109375" style="367" bestFit="1" customWidth="1"/>
    <col min="8" max="8" width="10.140625" style="367" bestFit="1" customWidth="1"/>
    <col min="9" max="9" width="11.7109375" style="367" bestFit="1" customWidth="1"/>
    <col min="10" max="10" width="10.140625" style="367" bestFit="1" customWidth="1"/>
    <col min="11" max="11" width="11.7109375" style="367" bestFit="1" customWidth="1"/>
    <col min="12" max="12" width="10.140625" style="367" bestFit="1" customWidth="1"/>
    <col min="13" max="13" width="11.7109375" style="367" bestFit="1" customWidth="1"/>
    <col min="14" max="14" width="13.42578125" style="366" bestFit="1" customWidth="1"/>
    <col min="15" max="15" width="13.42578125" style="367" bestFit="1" customWidth="1"/>
    <col min="16" max="16384" width="11.42578125" style="367"/>
  </cols>
  <sheetData>
    <row r="1" spans="1:14" s="53" customFormat="1" ht="15.75" thickBot="1" x14ac:dyDescent="0.3">
      <c r="A1" s="1359" t="s">
        <v>1</v>
      </c>
      <c r="B1" s="1360"/>
      <c r="C1" s="1360"/>
      <c r="D1" s="1361"/>
      <c r="E1" s="1361"/>
      <c r="F1" s="1361"/>
      <c r="G1" s="1361"/>
      <c r="H1" s="1361"/>
      <c r="I1" s="1361"/>
      <c r="J1" s="1361"/>
      <c r="K1" s="1361"/>
      <c r="L1" s="1361"/>
      <c r="M1" s="1362"/>
      <c r="N1" s="54"/>
    </row>
    <row r="2" spans="1:14" s="53" customFormat="1" ht="15.75" thickBot="1" x14ac:dyDescent="0.3">
      <c r="A2" s="1129" t="s">
        <v>6</v>
      </c>
      <c r="B2" s="55" t="s">
        <v>17</v>
      </c>
      <c r="C2" s="56" t="s">
        <v>320</v>
      </c>
      <c r="D2" s="1131" t="s">
        <v>324</v>
      </c>
      <c r="E2" s="1116"/>
      <c r="F2" s="1115" t="s">
        <v>211</v>
      </c>
      <c r="G2" s="1116"/>
      <c r="H2" s="1115" t="s">
        <v>120</v>
      </c>
      <c r="I2" s="1116"/>
      <c r="J2" s="1115" t="s">
        <v>20</v>
      </c>
      <c r="K2" s="1116"/>
      <c r="L2" s="1115" t="s">
        <v>19</v>
      </c>
      <c r="M2" s="1116"/>
      <c r="N2" s="54"/>
    </row>
    <row r="3" spans="1:14" s="53" customFormat="1" ht="15.75" thickBot="1" x14ac:dyDescent="0.3">
      <c r="A3" s="1130"/>
      <c r="B3" s="57" t="s">
        <v>11</v>
      </c>
      <c r="C3" s="58" t="s">
        <v>0</v>
      </c>
      <c r="D3" s="59" t="s">
        <v>14</v>
      </c>
      <c r="E3" s="503" t="s">
        <v>10</v>
      </c>
      <c r="F3" s="59" t="s">
        <v>14</v>
      </c>
      <c r="G3" s="503" t="s">
        <v>10</v>
      </c>
      <c r="H3" s="59" t="s">
        <v>14</v>
      </c>
      <c r="I3" s="503" t="s">
        <v>10</v>
      </c>
      <c r="J3" s="59" t="s">
        <v>14</v>
      </c>
      <c r="K3" s="503" t="s">
        <v>10</v>
      </c>
      <c r="L3" s="59" t="s">
        <v>14</v>
      </c>
      <c r="M3" s="61" t="s">
        <v>10</v>
      </c>
      <c r="N3" s="54"/>
    </row>
    <row r="4" spans="1:14" s="362" customFormat="1" x14ac:dyDescent="0.25">
      <c r="A4" s="62">
        <v>1</v>
      </c>
      <c r="B4" s="356">
        <v>6</v>
      </c>
      <c r="C4" s="357" t="s">
        <v>321</v>
      </c>
      <c r="D4" s="358">
        <v>266.02999999999997</v>
      </c>
      <c r="E4" s="359">
        <f>+D4*$B4</f>
        <v>1596.1799999999998</v>
      </c>
      <c r="F4" s="358">
        <f>13.5*TC!C3</f>
        <v>481.87979999999999</v>
      </c>
      <c r="G4" s="359">
        <f>+F4*$B4</f>
        <v>2891.2788</v>
      </c>
      <c r="H4" s="358">
        <f>15.8912*TC!C3</f>
        <v>567.23320576000003</v>
      </c>
      <c r="I4" s="359">
        <f>+H4*$B4</f>
        <v>3403.39923456</v>
      </c>
      <c r="J4" s="358">
        <f>15.95*TC!C3</f>
        <v>569.33205999999996</v>
      </c>
      <c r="K4" s="359">
        <f>+J4*$B4</f>
        <v>3415.9923599999997</v>
      </c>
      <c r="L4" s="358">
        <f>9.674*TC!C3</f>
        <v>345.31149519999997</v>
      </c>
      <c r="M4" s="360">
        <f>+L4*$B4</f>
        <v>2071.8689711999996</v>
      </c>
      <c r="N4" s="361"/>
    </row>
    <row r="5" spans="1:14" s="362" customFormat="1" ht="15.75" thickBot="1" x14ac:dyDescent="0.3">
      <c r="A5" s="70">
        <v>2</v>
      </c>
      <c r="B5" s="363">
        <v>6</v>
      </c>
      <c r="C5" s="357" t="s">
        <v>322</v>
      </c>
      <c r="D5" s="365" t="s">
        <v>36</v>
      </c>
      <c r="E5" s="359" t="s">
        <v>36</v>
      </c>
      <c r="F5" s="365" t="s">
        <v>36</v>
      </c>
      <c r="G5" s="359" t="s">
        <v>36</v>
      </c>
      <c r="H5" s="365" t="s">
        <v>36</v>
      </c>
      <c r="I5" s="359" t="s">
        <v>36</v>
      </c>
      <c r="J5" s="365" t="s">
        <v>36</v>
      </c>
      <c r="K5" s="359" t="s">
        <v>36</v>
      </c>
      <c r="L5" s="365">
        <f>9.674*TC!C3</f>
        <v>345.31149519999997</v>
      </c>
      <c r="M5" s="360">
        <f>+L5*$B5</f>
        <v>2071.8689711999996</v>
      </c>
      <c r="N5" s="361"/>
    </row>
    <row r="6" spans="1:14" x14ac:dyDescent="0.25">
      <c r="A6" s="1132" t="s">
        <v>4</v>
      </c>
      <c r="B6" s="1133"/>
      <c r="C6" s="1134"/>
      <c r="D6" s="1117">
        <f>SUM(E4:E5)</f>
        <v>1596.1799999999998</v>
      </c>
      <c r="E6" s="1118"/>
      <c r="F6" s="1117">
        <f>SUM(G4:G5)</f>
        <v>2891.2788</v>
      </c>
      <c r="G6" s="1118"/>
      <c r="H6" s="1117">
        <f>SUM(I4:I5)</f>
        <v>3403.39923456</v>
      </c>
      <c r="I6" s="1118"/>
      <c r="J6" s="1117">
        <f>SUM(K4:K5)</f>
        <v>3415.9923599999997</v>
      </c>
      <c r="K6" s="1118"/>
      <c r="L6" s="1117">
        <f>SUM(M4:M5)</f>
        <v>4143.7379423999992</v>
      </c>
      <c r="M6" s="1135"/>
    </row>
    <row r="7" spans="1:14" x14ac:dyDescent="0.25">
      <c r="A7" s="1123" t="s">
        <v>5</v>
      </c>
      <c r="B7" s="1124"/>
      <c r="C7" s="1125"/>
      <c r="D7" s="1119">
        <v>0</v>
      </c>
      <c r="E7" s="1120"/>
      <c r="F7" s="1119">
        <v>0</v>
      </c>
      <c r="G7" s="1120"/>
      <c r="H7" s="1119">
        <v>0</v>
      </c>
      <c r="I7" s="1120"/>
      <c r="J7" s="1119">
        <v>0</v>
      </c>
      <c r="K7" s="1120"/>
      <c r="L7" s="1119">
        <v>0</v>
      </c>
      <c r="M7" s="1126"/>
    </row>
    <row r="8" spans="1:14" x14ac:dyDescent="0.25">
      <c r="A8" s="1369" t="s">
        <v>2</v>
      </c>
      <c r="B8" s="1370"/>
      <c r="C8" s="1371"/>
      <c r="D8" s="1119">
        <f>(D6-D7)*15%</f>
        <v>239.42699999999996</v>
      </c>
      <c r="E8" s="1120"/>
      <c r="F8" s="1119">
        <f>(F6-F7)*15%</f>
        <v>433.69182000000001</v>
      </c>
      <c r="G8" s="1120"/>
      <c r="H8" s="1119">
        <f>(H6-H7)*15%</f>
        <v>510.50988518399998</v>
      </c>
      <c r="I8" s="1120"/>
      <c r="J8" s="1119">
        <f>(J6-J7)*15%</f>
        <v>512.39885399999991</v>
      </c>
      <c r="K8" s="1120"/>
      <c r="L8" s="1119">
        <f>(L6-L7)*15%</f>
        <v>621.56069135999985</v>
      </c>
      <c r="M8" s="1126"/>
    </row>
    <row r="9" spans="1:14" ht="15.75" thickBot="1" x14ac:dyDescent="0.3">
      <c r="A9" s="1363" t="s">
        <v>3</v>
      </c>
      <c r="B9" s="1364"/>
      <c r="C9" s="1365"/>
      <c r="D9" s="1366">
        <f>(D6-D7)+D8</f>
        <v>1835.6069999999997</v>
      </c>
      <c r="E9" s="1367"/>
      <c r="F9" s="1366">
        <f>(F6-F7)+F8</f>
        <v>3324.9706200000001</v>
      </c>
      <c r="G9" s="1367"/>
      <c r="H9" s="1366">
        <f>(H6-H7)+H8</f>
        <v>3913.9091197439998</v>
      </c>
      <c r="I9" s="1367"/>
      <c r="J9" s="1366">
        <f>(J6-J7)+J8</f>
        <v>3928.3912139999998</v>
      </c>
      <c r="K9" s="1367"/>
      <c r="L9" s="1366">
        <f>(L6-L7)+L8</f>
        <v>4765.2986337599987</v>
      </c>
      <c r="M9" s="1368"/>
    </row>
    <row r="10" spans="1:14" ht="15.75" thickBot="1" x14ac:dyDescent="0.3"/>
    <row r="11" spans="1:14" ht="15.75" thickBot="1" x14ac:dyDescent="0.3">
      <c r="A11" s="1129" t="s">
        <v>6</v>
      </c>
      <c r="B11" s="55" t="s">
        <v>17</v>
      </c>
      <c r="C11" s="56" t="s">
        <v>320</v>
      </c>
      <c r="D11" s="1131" t="s">
        <v>21</v>
      </c>
      <c r="E11" s="1116"/>
      <c r="F11" s="368"/>
      <c r="G11" s="368"/>
      <c r="H11" s="368"/>
      <c r="I11" s="368"/>
      <c r="J11" s="368"/>
      <c r="K11" s="368"/>
      <c r="M11" s="368"/>
    </row>
    <row r="12" spans="1:14" ht="15.75" thickBot="1" x14ac:dyDescent="0.3">
      <c r="A12" s="1130"/>
      <c r="B12" s="57" t="s">
        <v>11</v>
      </c>
      <c r="C12" s="58" t="s">
        <v>0</v>
      </c>
      <c r="D12" s="59" t="s">
        <v>14</v>
      </c>
      <c r="E12" s="61" t="s">
        <v>10</v>
      </c>
    </row>
    <row r="13" spans="1:14" ht="30.75" thickBot="1" x14ac:dyDescent="0.3">
      <c r="A13" s="62">
        <v>1</v>
      </c>
      <c r="B13" s="63">
        <v>6</v>
      </c>
      <c r="C13" s="64" t="s">
        <v>323</v>
      </c>
      <c r="D13" s="65">
        <v>290.23</v>
      </c>
      <c r="E13" s="67">
        <f>+D13*$B13</f>
        <v>1741.38</v>
      </c>
      <c r="G13" s="367" t="s">
        <v>325</v>
      </c>
    </row>
    <row r="14" spans="1:14" x14ac:dyDescent="0.25">
      <c r="A14" s="1132" t="s">
        <v>4</v>
      </c>
      <c r="B14" s="1133"/>
      <c r="C14" s="1134"/>
      <c r="D14" s="1117">
        <f>SUM(E13:E13)</f>
        <v>1741.38</v>
      </c>
      <c r="E14" s="1135"/>
    </row>
    <row r="15" spans="1:14" x14ac:dyDescent="0.25">
      <c r="A15" s="1123" t="s">
        <v>5</v>
      </c>
      <c r="B15" s="1124"/>
      <c r="C15" s="1125"/>
      <c r="D15" s="1119">
        <v>0</v>
      </c>
      <c r="E15" s="1126"/>
    </row>
    <row r="16" spans="1:14" x14ac:dyDescent="0.25">
      <c r="A16" s="1369" t="s">
        <v>2</v>
      </c>
      <c r="B16" s="1370"/>
      <c r="C16" s="1371"/>
      <c r="D16" s="1119">
        <f>(D14-D15)*15%</f>
        <v>261.20699999999999</v>
      </c>
      <c r="E16" s="1126"/>
    </row>
    <row r="17" spans="1:5" ht="15.75" thickBot="1" x14ac:dyDescent="0.3">
      <c r="A17" s="1363" t="s">
        <v>3</v>
      </c>
      <c r="B17" s="1364"/>
      <c r="C17" s="1365"/>
      <c r="D17" s="1112">
        <f>(D14-D15)+D16</f>
        <v>2002.587</v>
      </c>
      <c r="E17" s="1114"/>
    </row>
  </sheetData>
  <mergeCells count="41">
    <mergeCell ref="A16:C16"/>
    <mergeCell ref="D16:E16"/>
    <mergeCell ref="A17:C17"/>
    <mergeCell ref="D17:E17"/>
    <mergeCell ref="H9:I9"/>
    <mergeCell ref="A11:A12"/>
    <mergeCell ref="D11:E11"/>
    <mergeCell ref="A14:C14"/>
    <mergeCell ref="D14:E14"/>
    <mergeCell ref="A15:C15"/>
    <mergeCell ref="D15:E15"/>
    <mergeCell ref="A9:C9"/>
    <mergeCell ref="D9:E9"/>
    <mergeCell ref="F9:G9"/>
    <mergeCell ref="L9:M9"/>
    <mergeCell ref="J2:K2"/>
    <mergeCell ref="J6:K6"/>
    <mergeCell ref="J7:K7"/>
    <mergeCell ref="J8:K8"/>
    <mergeCell ref="J9:K9"/>
    <mergeCell ref="A6:C6"/>
    <mergeCell ref="D6:E6"/>
    <mergeCell ref="F6:G6"/>
    <mergeCell ref="L6:M6"/>
    <mergeCell ref="H6:I6"/>
    <mergeCell ref="A8:C8"/>
    <mergeCell ref="D8:E8"/>
    <mergeCell ref="F8:G8"/>
    <mergeCell ref="L8:M8"/>
    <mergeCell ref="H7:I7"/>
    <mergeCell ref="H8:I8"/>
    <mergeCell ref="A7:C7"/>
    <mergeCell ref="D7:E7"/>
    <mergeCell ref="F7:G7"/>
    <mergeCell ref="L7:M7"/>
    <mergeCell ref="A1:M1"/>
    <mergeCell ref="A2:A3"/>
    <mergeCell ref="D2:E2"/>
    <mergeCell ref="F2:G2"/>
    <mergeCell ref="L2:M2"/>
    <mergeCell ref="H2:I2"/>
  </mergeCells>
  <conditionalFormatting sqref="E4:E5 G4:G5 M4:M5 E13">
    <cfRule type="expression" dxfId="363" priority="11">
      <formula>D4=""</formula>
    </cfRule>
  </conditionalFormatting>
  <conditionalFormatting sqref="K4:K5">
    <cfRule type="expression" dxfId="362" priority="5">
      <formula>J4=""</formula>
    </cfRule>
    <cfRule type="expression" dxfId="361" priority="6">
      <formula>J4=MIN($D4,$F4,$L4)</formula>
    </cfRule>
  </conditionalFormatting>
  <conditionalFormatting sqref="I4:I5">
    <cfRule type="expression" dxfId="360" priority="3">
      <formula>H4=""</formula>
    </cfRule>
    <cfRule type="expression" dxfId="359" priority="4">
      <formula>H4=MIN($D4,$F4,$L4)</formula>
    </cfRule>
  </conditionalFormatting>
  <conditionalFormatting sqref="E4:E5 G4:G5 I4:I5 K4:K5 M4:M5 E13">
    <cfRule type="expression" dxfId="358" priority="12">
      <formula>D4=MIN($D4,$F4,$H4,$J4,$L4)</formula>
    </cfRule>
  </conditionalFormatting>
  <pageMargins left="0.25" right="0.25" top="0.75" bottom="0.75" header="0.3" footer="0.3"/>
  <pageSetup orientation="landscape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9EC61-182B-4E26-A574-903C587FFB7B}">
  <sheetPr codeName="Hoja42"/>
  <dimension ref="B1:K12"/>
  <sheetViews>
    <sheetView showGridLines="0" workbookViewId="0">
      <selection activeCell="G3" sqref="G3:H3"/>
    </sheetView>
  </sheetViews>
  <sheetFormatPr baseColWidth="10" defaultRowHeight="15.75" x14ac:dyDescent="0.25"/>
  <cols>
    <col min="1" max="1" width="11.42578125" style="108"/>
    <col min="2" max="2" width="3" style="108" bestFit="1" customWidth="1"/>
    <col min="3" max="3" width="6.28515625" style="108" bestFit="1" customWidth="1"/>
    <col min="4" max="4" width="17.5703125" style="108" bestFit="1" customWidth="1"/>
    <col min="5" max="5" width="11.140625" style="108" bestFit="1" customWidth="1"/>
    <col min="6" max="6" width="14" style="108" bestFit="1" customWidth="1"/>
    <col min="7" max="7" width="11.140625" style="108" bestFit="1" customWidth="1"/>
    <col min="8" max="8" width="14" style="108" bestFit="1" customWidth="1"/>
    <col min="9" max="9" width="11.140625" style="108" bestFit="1" customWidth="1"/>
    <col min="10" max="10" width="14" style="108" bestFit="1" customWidth="1"/>
    <col min="11" max="11" width="13.42578125" style="109" bestFit="1" customWidth="1"/>
    <col min="12" max="12" width="13.42578125" style="108" bestFit="1" customWidth="1"/>
    <col min="13" max="16384" width="11.42578125" style="108"/>
  </cols>
  <sheetData>
    <row r="1" spans="2:11" ht="16.5" thickBot="1" x14ac:dyDescent="0.3"/>
    <row r="2" spans="2:11" s="34" customFormat="1" ht="16.5" thickBot="1" x14ac:dyDescent="0.3">
      <c r="B2" s="1178" t="s">
        <v>1</v>
      </c>
      <c r="C2" s="1179"/>
      <c r="D2" s="1179"/>
      <c r="E2" s="1180"/>
      <c r="F2" s="1180"/>
      <c r="G2" s="1180"/>
      <c r="H2" s="1180"/>
      <c r="I2" s="1180"/>
      <c r="J2" s="1181"/>
      <c r="K2" s="35"/>
    </row>
    <row r="3" spans="2:11" s="34" customFormat="1" ht="16.5" thickBot="1" x14ac:dyDescent="0.3">
      <c r="B3" s="1182" t="s">
        <v>6</v>
      </c>
      <c r="C3" s="110" t="s">
        <v>17</v>
      </c>
      <c r="D3" s="111" t="s">
        <v>326</v>
      </c>
      <c r="E3" s="1184" t="s">
        <v>211</v>
      </c>
      <c r="F3" s="1102"/>
      <c r="G3" s="1100" t="s">
        <v>272</v>
      </c>
      <c r="H3" s="1102"/>
      <c r="I3" s="1100" t="s">
        <v>273</v>
      </c>
      <c r="J3" s="1102"/>
      <c r="K3" s="35"/>
    </row>
    <row r="4" spans="2:11" s="34" customFormat="1" ht="16.5" thickBot="1" x14ac:dyDescent="0.3">
      <c r="B4" s="1183"/>
      <c r="C4" s="112" t="s">
        <v>11</v>
      </c>
      <c r="D4" s="113" t="s">
        <v>0</v>
      </c>
      <c r="E4" s="114" t="s">
        <v>14</v>
      </c>
      <c r="F4" s="504" t="s">
        <v>10</v>
      </c>
      <c r="G4" s="114" t="s">
        <v>14</v>
      </c>
      <c r="H4" s="504" t="s">
        <v>10</v>
      </c>
      <c r="I4" s="114" t="s">
        <v>14</v>
      </c>
      <c r="J4" s="116" t="s">
        <v>10</v>
      </c>
      <c r="K4" s="35"/>
    </row>
    <row r="5" spans="2:11" s="124" customFormat="1" x14ac:dyDescent="0.25">
      <c r="B5" s="117">
        <v>1</v>
      </c>
      <c r="C5" s="118">
        <v>72</v>
      </c>
      <c r="D5" s="119" t="s">
        <v>268</v>
      </c>
      <c r="E5" s="120">
        <v>162</v>
      </c>
      <c r="F5" s="121">
        <f>+E5*C5</f>
        <v>11664</v>
      </c>
      <c r="G5" s="120">
        <v>169.06</v>
      </c>
      <c r="H5" s="121">
        <f>+G5*$C5</f>
        <v>12172.32</v>
      </c>
      <c r="I5" s="120">
        <v>172.53</v>
      </c>
      <c r="J5" s="122">
        <f>+I5*$C5</f>
        <v>12422.16</v>
      </c>
      <c r="K5" s="123"/>
    </row>
    <row r="6" spans="2:11" s="124" customFormat="1" ht="16.5" thickBot="1" x14ac:dyDescent="0.3">
      <c r="B6" s="125">
        <v>3</v>
      </c>
      <c r="C6" s="126">
        <v>100</v>
      </c>
      <c r="D6" s="127" t="s">
        <v>327</v>
      </c>
      <c r="E6" s="128">
        <v>120</v>
      </c>
      <c r="F6" s="121">
        <f t="shared" ref="F6" si="0">+E6*$C6</f>
        <v>12000</v>
      </c>
      <c r="G6" s="128">
        <v>129</v>
      </c>
      <c r="H6" s="121">
        <f>+G6*$C6</f>
        <v>12900</v>
      </c>
      <c r="I6" s="128">
        <v>160</v>
      </c>
      <c r="J6" s="122">
        <f>+I6*$C6</f>
        <v>16000</v>
      </c>
      <c r="K6" s="123"/>
    </row>
    <row r="7" spans="2:11" x14ac:dyDescent="0.25">
      <c r="B7" s="1094" t="s">
        <v>4</v>
      </c>
      <c r="C7" s="1095"/>
      <c r="D7" s="1185"/>
      <c r="E7" s="1186">
        <f>SUM(F5:F6)</f>
        <v>23664</v>
      </c>
      <c r="F7" s="1187"/>
      <c r="G7" s="1186">
        <f>SUM(H5:H6)</f>
        <v>25072.32</v>
      </c>
      <c r="H7" s="1187"/>
      <c r="I7" s="1186">
        <f>SUM(J5:J6)</f>
        <v>28422.16</v>
      </c>
      <c r="J7" s="1188"/>
    </row>
    <row r="8" spans="2:11" x14ac:dyDescent="0.25">
      <c r="B8" s="1096" t="s">
        <v>5</v>
      </c>
      <c r="C8" s="1097"/>
      <c r="D8" s="1195"/>
      <c r="E8" s="1176">
        <v>0</v>
      </c>
      <c r="F8" s="1196"/>
      <c r="G8" s="1176">
        <v>0</v>
      </c>
      <c r="H8" s="1196"/>
      <c r="I8" s="1176">
        <v>0</v>
      </c>
      <c r="J8" s="1177"/>
    </row>
    <row r="9" spans="2:11" x14ac:dyDescent="0.25">
      <c r="B9" s="1199" t="s">
        <v>2</v>
      </c>
      <c r="C9" s="1200"/>
      <c r="D9" s="1201"/>
      <c r="E9" s="1176">
        <f>+E7*0.15</f>
        <v>3549.6</v>
      </c>
      <c r="F9" s="1196"/>
      <c r="G9" s="1176">
        <f>(G7-G8)*15%</f>
        <v>3760.848</v>
      </c>
      <c r="H9" s="1196"/>
      <c r="I9" s="1176">
        <f>(I7-I8)*15%</f>
        <v>4263.3239999999996</v>
      </c>
      <c r="J9" s="1177"/>
    </row>
    <row r="10" spans="2:11" ht="16.5" thickBot="1" x14ac:dyDescent="0.3">
      <c r="B10" s="1189" t="s">
        <v>3</v>
      </c>
      <c r="C10" s="1190"/>
      <c r="D10" s="1191"/>
      <c r="E10" s="1192">
        <f>(E7-E8)+E9</f>
        <v>27213.599999999999</v>
      </c>
      <c r="F10" s="1193"/>
      <c r="G10" s="1192">
        <f>(G7-G8)+G9</f>
        <v>28833.167999999998</v>
      </c>
      <c r="H10" s="1193"/>
      <c r="I10" s="1192">
        <f>(I7-I8)+I9</f>
        <v>32685.484</v>
      </c>
      <c r="J10" s="1194"/>
    </row>
    <row r="12" spans="2:11" x14ac:dyDescent="0.25">
      <c r="F12" s="129"/>
      <c r="G12" s="129"/>
      <c r="H12" s="129"/>
      <c r="J12" s="129"/>
    </row>
  </sheetData>
  <mergeCells count="21">
    <mergeCell ref="B7:D7"/>
    <mergeCell ref="E7:F7"/>
    <mergeCell ref="G7:H7"/>
    <mergeCell ref="I7:J7"/>
    <mergeCell ref="B2:J2"/>
    <mergeCell ref="B3:B4"/>
    <mergeCell ref="E3:F3"/>
    <mergeCell ref="G3:H3"/>
    <mergeCell ref="I3:J3"/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</mergeCells>
  <conditionalFormatting sqref="F5:F6 H5:H6 J5:J6">
    <cfRule type="expression" dxfId="357" priority="1">
      <formula>E5=""</formula>
    </cfRule>
    <cfRule type="expression" dxfId="356" priority="2">
      <formula>E5=MIN($E5,$G5,$I5)</formula>
    </cfRule>
  </conditionalFormatting>
  <pageMargins left="0.25" right="0.25" top="0.75" bottom="0.75" header="0.3" footer="0.3"/>
  <pageSetup orientation="landscape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CD5F0-78FD-4B4A-B575-72B797C66250}">
  <sheetPr codeName="Hoja43"/>
  <dimension ref="A1:M12"/>
  <sheetViews>
    <sheetView showGridLines="0" workbookViewId="0">
      <selection activeCell="D3" sqref="D3:E3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4" width="12.85546875" style="34" bestFit="1" customWidth="1"/>
    <col min="5" max="5" width="14" style="34" bestFit="1" customWidth="1"/>
    <col min="6" max="6" width="11.140625" style="34" bestFit="1" customWidth="1"/>
    <col min="7" max="7" width="12.85546875" style="34" bestFit="1" customWidth="1"/>
    <col min="8" max="8" width="11.140625" style="34" bestFit="1" customWidth="1"/>
    <col min="9" max="9" width="12.85546875" style="34" bestFit="1" customWidth="1"/>
    <col min="10" max="10" width="11.140625" style="34" bestFit="1" customWidth="1"/>
    <col min="11" max="11" width="12.85546875" style="34" bestFit="1" customWidth="1"/>
    <col min="12" max="12" width="13.42578125" style="35" bestFit="1" customWidth="1"/>
    <col min="13" max="13" width="13.42578125" style="34" bestFit="1" customWidth="1"/>
    <col min="14" max="16384" width="11.42578125" style="34"/>
  </cols>
  <sheetData>
    <row r="1" spans="1:13" ht="16.5" thickBot="1" x14ac:dyDescent="0.3"/>
    <row r="2" spans="1:13" ht="16.5" thickBot="1" x14ac:dyDescent="0.3">
      <c r="A2" s="1100" t="s">
        <v>1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2"/>
    </row>
    <row r="3" spans="1:13" x14ac:dyDescent="0.25">
      <c r="A3" s="1434" t="s">
        <v>6</v>
      </c>
      <c r="B3" s="505" t="s">
        <v>17</v>
      </c>
      <c r="C3" s="506" t="s">
        <v>331</v>
      </c>
      <c r="D3" s="1435" t="s">
        <v>53</v>
      </c>
      <c r="E3" s="1435"/>
      <c r="F3" s="1435" t="s">
        <v>52</v>
      </c>
      <c r="G3" s="1435"/>
      <c r="H3" s="1435" t="s">
        <v>329</v>
      </c>
      <c r="I3" s="1435"/>
      <c r="J3" s="1435" t="s">
        <v>51</v>
      </c>
      <c r="K3" s="1436"/>
    </row>
    <row r="4" spans="1:13" ht="16.5" thickBot="1" x14ac:dyDescent="0.3">
      <c r="A4" s="1385"/>
      <c r="B4" s="392" t="s">
        <v>11</v>
      </c>
      <c r="C4" s="45" t="s">
        <v>0</v>
      </c>
      <c r="D4" s="45" t="s">
        <v>14</v>
      </c>
      <c r="E4" s="45" t="s">
        <v>10</v>
      </c>
      <c r="F4" s="45" t="s">
        <v>14</v>
      </c>
      <c r="G4" s="45" t="s">
        <v>10</v>
      </c>
      <c r="H4" s="45" t="s">
        <v>14</v>
      </c>
      <c r="I4" s="45" t="s">
        <v>10</v>
      </c>
      <c r="J4" s="45" t="s">
        <v>14</v>
      </c>
      <c r="K4" s="393" t="s">
        <v>10</v>
      </c>
    </row>
    <row r="5" spans="1:13" s="346" customFormat="1" x14ac:dyDescent="0.25">
      <c r="A5" s="395">
        <v>1</v>
      </c>
      <c r="B5" s="507">
        <v>6</v>
      </c>
      <c r="C5" s="508" t="s">
        <v>328</v>
      </c>
      <c r="D5" s="509">
        <f>(857.46/6)*35.92</f>
        <v>5133.3271999999997</v>
      </c>
      <c r="E5" s="510">
        <f>+D5*$B5</f>
        <v>30799.963199999998</v>
      </c>
      <c r="F5" s="510" t="s">
        <v>36</v>
      </c>
      <c r="G5" s="510" t="s">
        <v>36</v>
      </c>
      <c r="H5" s="510" t="s">
        <v>36</v>
      </c>
      <c r="I5" s="510" t="s">
        <v>36</v>
      </c>
      <c r="J5" s="510" t="s">
        <v>36</v>
      </c>
      <c r="K5" s="511" t="s">
        <v>36</v>
      </c>
      <c r="L5" s="345"/>
    </row>
    <row r="6" spans="1:13" s="346" customFormat="1" ht="16.5" thickBot="1" x14ac:dyDescent="0.3">
      <c r="A6" s="401">
        <v>2</v>
      </c>
      <c r="B6" s="512">
        <v>3</v>
      </c>
      <c r="C6" s="513" t="s">
        <v>76</v>
      </c>
      <c r="D6" s="514">
        <f>(617.82/3)*35.92</f>
        <v>7397.3648000000012</v>
      </c>
      <c r="E6" s="514">
        <f>+D6*$B6</f>
        <v>22192.094400000002</v>
      </c>
      <c r="F6" s="514">
        <f>(3659.01-914.75)/3</f>
        <v>914.75333333333344</v>
      </c>
      <c r="G6" s="514">
        <f>+F6*$B6</f>
        <v>2744.26</v>
      </c>
      <c r="H6" s="515">
        <v>870</v>
      </c>
      <c r="I6" s="514">
        <f>+H6*$B6</f>
        <v>2610</v>
      </c>
      <c r="J6" s="514">
        <v>900</v>
      </c>
      <c r="K6" s="516">
        <f t="shared" ref="K6" si="0">+J6*$B6</f>
        <v>2700</v>
      </c>
      <c r="L6" s="345"/>
    </row>
    <row r="7" spans="1:13" x14ac:dyDescent="0.25">
      <c r="A7" s="1094" t="s">
        <v>4</v>
      </c>
      <c r="B7" s="1095"/>
      <c r="C7" s="1095"/>
      <c r="D7" s="1399">
        <f>SUM(E5:E6)</f>
        <v>52992.0576</v>
      </c>
      <c r="E7" s="1399"/>
      <c r="F7" s="1399">
        <f>SUM(G5:G6)</f>
        <v>2744.26</v>
      </c>
      <c r="G7" s="1399"/>
      <c r="H7" s="1399">
        <f>SUM(I5:I6)</f>
        <v>2610</v>
      </c>
      <c r="I7" s="1399"/>
      <c r="J7" s="1399">
        <f>SUM(K5:K6)</f>
        <v>2700</v>
      </c>
      <c r="K7" s="1403"/>
    </row>
    <row r="8" spans="1:13" x14ac:dyDescent="0.25">
      <c r="A8" s="1096" t="s">
        <v>5</v>
      </c>
      <c r="B8" s="1097"/>
      <c r="C8" s="1097"/>
      <c r="D8" s="1400">
        <v>0</v>
      </c>
      <c r="E8" s="1400"/>
      <c r="F8" s="1400">
        <v>0</v>
      </c>
      <c r="G8" s="1400"/>
      <c r="H8" s="1400">
        <v>0</v>
      </c>
      <c r="I8" s="1400"/>
      <c r="J8" s="1400">
        <v>0</v>
      </c>
      <c r="K8" s="1401"/>
    </row>
    <row r="9" spans="1:13" s="35" customFormat="1" x14ac:dyDescent="0.25">
      <c r="A9" s="1096" t="s">
        <v>2</v>
      </c>
      <c r="B9" s="1097"/>
      <c r="C9" s="1097"/>
      <c r="D9" s="1400">
        <f>(D7-D8)*15%</f>
        <v>7948.8086399999993</v>
      </c>
      <c r="E9" s="1400"/>
      <c r="F9" s="1400">
        <f>(F7-F8)*15%</f>
        <v>411.63900000000001</v>
      </c>
      <c r="G9" s="1400"/>
      <c r="H9" s="1400">
        <v>0</v>
      </c>
      <c r="I9" s="1400"/>
      <c r="J9" s="1400">
        <v>0</v>
      </c>
      <c r="K9" s="1401"/>
      <c r="M9" s="34"/>
    </row>
    <row r="10" spans="1:13" s="35" customFormat="1" ht="16.5" thickBot="1" x14ac:dyDescent="0.3">
      <c r="A10" s="1098" t="s">
        <v>3</v>
      </c>
      <c r="B10" s="1099"/>
      <c r="C10" s="1099"/>
      <c r="D10" s="1437">
        <f>(D7-D8)+D9</f>
        <v>60940.866240000003</v>
      </c>
      <c r="E10" s="1437"/>
      <c r="F10" s="1437">
        <f>(F7-F8)+F9</f>
        <v>3155.8990000000003</v>
      </c>
      <c r="G10" s="1437"/>
      <c r="H10" s="1437">
        <f>(H7-H8)+H9</f>
        <v>2610</v>
      </c>
      <c r="I10" s="1437"/>
      <c r="J10" s="1437">
        <f>(J7-J8)+J9</f>
        <v>2700</v>
      </c>
      <c r="K10" s="1438"/>
      <c r="M10" s="34"/>
    </row>
    <row r="12" spans="1:13" s="35" customFormat="1" x14ac:dyDescent="0.25">
      <c r="A12" s="34"/>
      <c r="B12" s="34"/>
      <c r="C12" s="34"/>
      <c r="D12" s="34"/>
      <c r="E12" s="40"/>
      <c r="F12" s="40"/>
      <c r="G12" s="40"/>
      <c r="H12" s="34"/>
      <c r="I12" s="40"/>
      <c r="J12" s="34"/>
      <c r="K12" s="40"/>
      <c r="M12" s="34"/>
    </row>
  </sheetData>
  <mergeCells count="26">
    <mergeCell ref="A10:C10"/>
    <mergeCell ref="D10:E10"/>
    <mergeCell ref="F10:G10"/>
    <mergeCell ref="H10:I10"/>
    <mergeCell ref="J10:K10"/>
    <mergeCell ref="A9:C9"/>
    <mergeCell ref="D9:E9"/>
    <mergeCell ref="F9:G9"/>
    <mergeCell ref="H9:I9"/>
    <mergeCell ref="J9:K9"/>
    <mergeCell ref="A8:C8"/>
    <mergeCell ref="D8:E8"/>
    <mergeCell ref="F8:G8"/>
    <mergeCell ref="H8:I8"/>
    <mergeCell ref="J8:K8"/>
    <mergeCell ref="A7:C7"/>
    <mergeCell ref="D7:E7"/>
    <mergeCell ref="F7:G7"/>
    <mergeCell ref="H7:I7"/>
    <mergeCell ref="J7:K7"/>
    <mergeCell ref="A2:K2"/>
    <mergeCell ref="A3:A4"/>
    <mergeCell ref="D3:E3"/>
    <mergeCell ref="F3:G3"/>
    <mergeCell ref="H3:I3"/>
    <mergeCell ref="J3:K3"/>
  </mergeCells>
  <conditionalFormatting sqref="E5:E6 G5:G6 I5:I6 K5:K6">
    <cfRule type="expression" dxfId="355" priority="137">
      <formula>D5=""</formula>
    </cfRule>
    <cfRule type="expression" dxfId="354" priority="138">
      <formula>D5=MIN($D5,$F5,$H5,$J5,#REF!)</formula>
    </cfRule>
  </conditionalFormatting>
  <pageMargins left="0.25" right="0.25" top="0.75" bottom="0.75" header="0.3" footer="0.3"/>
  <pageSetup orientation="landscape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22A09-B156-41CF-9A77-FA97D8A2BF7C}">
  <sheetPr codeName="Hoja44"/>
  <dimension ref="A1:K11"/>
  <sheetViews>
    <sheetView showGridLines="0" workbookViewId="0">
      <selection activeCell="A2" sqref="A2:I2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4" width="10" style="34" bestFit="1" customWidth="1"/>
    <col min="5" max="5" width="11.140625" style="34" bestFit="1" customWidth="1"/>
    <col min="6" max="6" width="10" style="34" bestFit="1" customWidth="1"/>
    <col min="7" max="7" width="11.140625" style="34" bestFit="1" customWidth="1"/>
    <col min="8" max="8" width="10" style="34" bestFit="1" customWidth="1"/>
    <col min="9" max="9" width="11.140625" style="34" bestFit="1" customWidth="1"/>
    <col min="10" max="10" width="13.42578125" style="35" bestFit="1" customWidth="1"/>
    <col min="11" max="11" width="13.42578125" style="34" bestFit="1" customWidth="1"/>
    <col min="12" max="16384" width="11.42578125" style="34"/>
  </cols>
  <sheetData>
    <row r="1" spans="1:11" ht="16.5" thickBot="1" x14ac:dyDescent="0.3"/>
    <row r="2" spans="1:11" ht="16.5" thickBot="1" x14ac:dyDescent="0.3">
      <c r="A2" s="1100" t="s">
        <v>1</v>
      </c>
      <c r="B2" s="1101"/>
      <c r="C2" s="1101"/>
      <c r="D2" s="1101"/>
      <c r="E2" s="1101"/>
      <c r="F2" s="1101"/>
      <c r="G2" s="1101"/>
      <c r="H2" s="1101"/>
      <c r="I2" s="1102"/>
    </row>
    <row r="3" spans="1:11" x14ac:dyDescent="0.25">
      <c r="A3" s="1434" t="s">
        <v>6</v>
      </c>
      <c r="B3" s="505" t="s">
        <v>17</v>
      </c>
      <c r="C3" s="506" t="s">
        <v>330</v>
      </c>
      <c r="D3" s="1435" t="s">
        <v>67</v>
      </c>
      <c r="E3" s="1435"/>
      <c r="F3" s="1435" t="s">
        <v>66</v>
      </c>
      <c r="G3" s="1435"/>
      <c r="H3" s="1435" t="s">
        <v>333</v>
      </c>
      <c r="I3" s="1436"/>
    </row>
    <row r="4" spans="1:11" ht="16.5" thickBot="1" x14ac:dyDescent="0.3">
      <c r="A4" s="1385"/>
      <c r="B4" s="392" t="s">
        <v>11</v>
      </c>
      <c r="C4" s="45" t="s">
        <v>0</v>
      </c>
      <c r="D4" s="45" t="s">
        <v>14</v>
      </c>
      <c r="E4" s="45" t="s">
        <v>10</v>
      </c>
      <c r="F4" s="45" t="s">
        <v>14</v>
      </c>
      <c r="G4" s="45" t="s">
        <v>10</v>
      </c>
      <c r="H4" s="45" t="s">
        <v>14</v>
      </c>
      <c r="I4" s="393" t="s">
        <v>10</v>
      </c>
    </row>
    <row r="5" spans="1:11" s="346" customFormat="1" ht="16.5" thickBot="1" x14ac:dyDescent="0.3">
      <c r="A5" s="395">
        <v>1</v>
      </c>
      <c r="B5" s="507">
        <v>12</v>
      </c>
      <c r="C5" s="508" t="s">
        <v>332</v>
      </c>
      <c r="D5" s="510">
        <v>45.711500000000001</v>
      </c>
      <c r="E5" s="510">
        <f>+D5*$B5</f>
        <v>548.53800000000001</v>
      </c>
      <c r="F5" s="510">
        <v>70</v>
      </c>
      <c r="G5" s="510">
        <f>+F5*B5</f>
        <v>840</v>
      </c>
      <c r="H5" s="509">
        <v>17.399999999999999</v>
      </c>
      <c r="I5" s="511">
        <f>+H5*B5</f>
        <v>208.79999999999998</v>
      </c>
      <c r="J5" s="345"/>
    </row>
    <row r="6" spans="1:11" x14ac:dyDescent="0.25">
      <c r="A6" s="1094" t="s">
        <v>4</v>
      </c>
      <c r="B6" s="1095"/>
      <c r="C6" s="1095"/>
      <c r="D6" s="1399">
        <f>SUM(E5:E5)</f>
        <v>548.53800000000001</v>
      </c>
      <c r="E6" s="1399"/>
      <c r="F6" s="1399">
        <f>SUM(G5:G5)</f>
        <v>840</v>
      </c>
      <c r="G6" s="1399"/>
      <c r="H6" s="1399">
        <f>SUM(I5:I5)</f>
        <v>208.79999999999998</v>
      </c>
      <c r="I6" s="1403"/>
    </row>
    <row r="7" spans="1:11" x14ac:dyDescent="0.25">
      <c r="A7" s="1096" t="s">
        <v>5</v>
      </c>
      <c r="B7" s="1097"/>
      <c r="C7" s="1097"/>
      <c r="D7" s="1400">
        <v>0</v>
      </c>
      <c r="E7" s="1400"/>
      <c r="F7" s="1400">
        <v>0</v>
      </c>
      <c r="G7" s="1400"/>
      <c r="H7" s="1400">
        <v>0</v>
      </c>
      <c r="I7" s="1401"/>
    </row>
    <row r="8" spans="1:11" s="35" customFormat="1" x14ac:dyDescent="0.25">
      <c r="A8" s="1096" t="s">
        <v>2</v>
      </c>
      <c r="B8" s="1097"/>
      <c r="C8" s="1097"/>
      <c r="D8" s="1400">
        <f>(D6-D7)*15%</f>
        <v>82.280699999999996</v>
      </c>
      <c r="E8" s="1400"/>
      <c r="F8" s="1400">
        <v>0</v>
      </c>
      <c r="G8" s="1400"/>
      <c r="H8" s="1400">
        <f>+H6*0.15</f>
        <v>31.319999999999997</v>
      </c>
      <c r="I8" s="1401"/>
      <c r="K8" s="34"/>
    </row>
    <row r="9" spans="1:11" s="35" customFormat="1" ht="16.5" thickBot="1" x14ac:dyDescent="0.3">
      <c r="A9" s="1098" t="s">
        <v>3</v>
      </c>
      <c r="B9" s="1099"/>
      <c r="C9" s="1099"/>
      <c r="D9" s="1437">
        <f>(D6-D7)+D8</f>
        <v>630.81870000000004</v>
      </c>
      <c r="E9" s="1437"/>
      <c r="F9" s="1437">
        <f>(F6-F7)+F8</f>
        <v>840</v>
      </c>
      <c r="G9" s="1437"/>
      <c r="H9" s="1437">
        <f>(H6-H7)+H8</f>
        <v>240.11999999999998</v>
      </c>
      <c r="I9" s="1438"/>
      <c r="K9" s="34"/>
    </row>
    <row r="11" spans="1:11" s="35" customFormat="1" x14ac:dyDescent="0.25">
      <c r="A11" s="34"/>
      <c r="B11" s="34"/>
      <c r="C11" s="34"/>
      <c r="D11" s="34"/>
      <c r="E11" s="40"/>
      <c r="F11" s="40"/>
      <c r="G11" s="40"/>
      <c r="H11" s="34"/>
      <c r="I11" s="40"/>
      <c r="K11" s="34"/>
    </row>
  </sheetData>
  <mergeCells count="21">
    <mergeCell ref="A8:C8"/>
    <mergeCell ref="D8:E8"/>
    <mergeCell ref="F8:G8"/>
    <mergeCell ref="H8:I8"/>
    <mergeCell ref="A9:C9"/>
    <mergeCell ref="D9:E9"/>
    <mergeCell ref="F9:G9"/>
    <mergeCell ref="H9:I9"/>
    <mergeCell ref="A6:C6"/>
    <mergeCell ref="D6:E6"/>
    <mergeCell ref="F6:G6"/>
    <mergeCell ref="H6:I6"/>
    <mergeCell ref="A7:C7"/>
    <mergeCell ref="D7:E7"/>
    <mergeCell ref="F7:G7"/>
    <mergeCell ref="H7:I7"/>
    <mergeCell ref="A2:I2"/>
    <mergeCell ref="A3:A4"/>
    <mergeCell ref="D3:E3"/>
    <mergeCell ref="F3:G3"/>
    <mergeCell ref="H3:I3"/>
  </mergeCells>
  <conditionalFormatting sqref="E5 G5 I5">
    <cfRule type="expression" dxfId="353" priority="139">
      <formula>D5=""</formula>
    </cfRule>
    <cfRule type="expression" dxfId="352" priority="140">
      <formula>D5=MIN($D5,$F5,$H5,#REF!,#REF!)</formula>
    </cfRule>
  </conditionalFormatting>
  <pageMargins left="0.25" right="0.25" top="0.75" bottom="0.75" header="0.3" footer="0.3"/>
  <pageSetup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F5E8D-58C8-4C24-BE2D-348CFD6542DD}">
  <sheetPr codeName="Hoja45"/>
  <dimension ref="B1:I9"/>
  <sheetViews>
    <sheetView showGridLines="0" workbookViewId="0">
      <selection activeCell="C5" sqref="C5"/>
    </sheetView>
  </sheetViews>
  <sheetFormatPr baseColWidth="10" defaultRowHeight="18.75" x14ac:dyDescent="0.3"/>
  <cols>
    <col min="1" max="1" width="11.42578125" style="518"/>
    <col min="2" max="2" width="3.5703125" style="518" bestFit="1" customWidth="1"/>
    <col min="3" max="3" width="7.5703125" style="518" bestFit="1" customWidth="1"/>
    <col min="4" max="4" width="22.7109375" style="518" bestFit="1" customWidth="1"/>
    <col min="5" max="6" width="15.85546875" style="518" bestFit="1" customWidth="1"/>
    <col min="7" max="7" width="16.85546875" style="518" bestFit="1" customWidth="1"/>
    <col min="8" max="8" width="13.42578125" style="519" bestFit="1" customWidth="1"/>
    <col min="9" max="9" width="13.42578125" style="518" bestFit="1" customWidth="1"/>
    <col min="10" max="16384" width="11.42578125" style="518"/>
  </cols>
  <sheetData>
    <row r="1" spans="2:9" ht="19.5" thickBot="1" x14ac:dyDescent="0.35"/>
    <row r="2" spans="2:9" s="521" customFormat="1" x14ac:dyDescent="0.3">
      <c r="B2" s="1443" t="s">
        <v>1</v>
      </c>
      <c r="C2" s="1444"/>
      <c r="D2" s="1444"/>
      <c r="E2" s="1444"/>
      <c r="F2" s="1444"/>
      <c r="G2" s="1445"/>
      <c r="H2" s="520"/>
    </row>
    <row r="3" spans="2:9" s="521" customFormat="1" x14ac:dyDescent="0.25">
      <c r="B3" s="1446" t="s">
        <v>6</v>
      </c>
      <c r="C3" s="525" t="s">
        <v>17</v>
      </c>
      <c r="D3" s="526" t="s">
        <v>301</v>
      </c>
      <c r="E3" s="527" t="s">
        <v>311</v>
      </c>
      <c r="F3" s="527" t="s">
        <v>123</v>
      </c>
      <c r="G3" s="533" t="s">
        <v>333</v>
      </c>
      <c r="H3" s="520"/>
    </row>
    <row r="4" spans="2:9" s="521" customFormat="1" x14ac:dyDescent="0.25">
      <c r="B4" s="1446"/>
      <c r="C4" s="528" t="s">
        <v>11</v>
      </c>
      <c r="D4" s="527" t="s">
        <v>0</v>
      </c>
      <c r="E4" s="527" t="s">
        <v>10</v>
      </c>
      <c r="F4" s="527" t="s">
        <v>10</v>
      </c>
      <c r="G4" s="533" t="s">
        <v>10</v>
      </c>
      <c r="H4" s="520"/>
    </row>
    <row r="5" spans="2:9" s="523" customFormat="1" x14ac:dyDescent="0.3">
      <c r="B5" s="534">
        <v>1</v>
      </c>
      <c r="C5" s="529">
        <v>1</v>
      </c>
      <c r="D5" s="530" t="s">
        <v>309</v>
      </c>
      <c r="E5" s="531">
        <v>1336.34</v>
      </c>
      <c r="F5" s="531">
        <v>4588.8999999999996</v>
      </c>
      <c r="G5" s="535">
        <v>1650.7</v>
      </c>
      <c r="H5" s="522"/>
    </row>
    <row r="6" spans="2:9" s="519" customFormat="1" x14ac:dyDescent="0.3">
      <c r="B6" s="1441" t="s">
        <v>2</v>
      </c>
      <c r="C6" s="1442"/>
      <c r="D6" s="1442"/>
      <c r="E6" s="532">
        <f>+E5*0.15</f>
        <v>200.45099999999999</v>
      </c>
      <c r="F6" s="532">
        <f t="shared" ref="F6:G6" si="0">+F5*0.15</f>
        <v>688.33499999999992</v>
      </c>
      <c r="G6" s="536">
        <f t="shared" si="0"/>
        <v>247.60499999999999</v>
      </c>
      <c r="I6" s="518"/>
    </row>
    <row r="7" spans="2:9" s="519" customFormat="1" ht="19.5" thickBot="1" x14ac:dyDescent="0.35">
      <c r="B7" s="1439" t="s">
        <v>3</v>
      </c>
      <c r="C7" s="1440"/>
      <c r="D7" s="1440"/>
      <c r="E7" s="537">
        <f>SUM(E5:E6)</f>
        <v>1536.7909999999999</v>
      </c>
      <c r="F7" s="537">
        <f t="shared" ref="F7:G7" si="1">SUM(F5:F6)</f>
        <v>5277.2349999999997</v>
      </c>
      <c r="G7" s="538">
        <f t="shared" si="1"/>
        <v>1898.3050000000001</v>
      </c>
      <c r="I7" s="518"/>
    </row>
    <row r="9" spans="2:9" s="519" customFormat="1" x14ac:dyDescent="0.3">
      <c r="B9" s="518"/>
      <c r="C9" s="518"/>
      <c r="D9" s="518"/>
      <c r="E9" s="524"/>
      <c r="F9" s="524"/>
      <c r="G9" s="524"/>
      <c r="I9" s="518"/>
    </row>
  </sheetData>
  <mergeCells count="4">
    <mergeCell ref="B7:D7"/>
    <mergeCell ref="B6:D6"/>
    <mergeCell ref="B2:G2"/>
    <mergeCell ref="B3:B4"/>
  </mergeCells>
  <conditionalFormatting sqref="E5:G5">
    <cfRule type="expression" dxfId="351" priority="151">
      <formula>#REF!=""</formula>
    </cfRule>
    <cfRule type="expression" dxfId="350" priority="152">
      <formula>#REF!=MIN(#REF!,#REF!,#REF!,#REF!,#REF!)</formula>
    </cfRule>
  </conditionalFormatting>
  <pageMargins left="0.25" right="0.25" top="0.75" bottom="0.75" header="0.3" footer="0.3"/>
  <pageSetup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D940A-0BC4-4D94-BFA2-385E9521DEE5}">
  <sheetPr codeName="Hoja46"/>
  <dimension ref="B2:K12"/>
  <sheetViews>
    <sheetView showGridLines="0" workbookViewId="0">
      <selection activeCell="D6" sqref="D6"/>
    </sheetView>
  </sheetViews>
  <sheetFormatPr baseColWidth="10" defaultRowHeight="15" x14ac:dyDescent="0.25"/>
  <cols>
    <col min="1" max="1" width="2.7109375" style="367" bestFit="1" customWidth="1"/>
    <col min="2" max="2" width="2.5703125" style="367" bestFit="1" customWidth="1"/>
    <col min="3" max="3" width="5.85546875" style="367" bestFit="1" customWidth="1"/>
    <col min="4" max="4" width="17.42578125" style="367" bestFit="1" customWidth="1"/>
    <col min="5" max="10" width="11.7109375" style="367" bestFit="1" customWidth="1"/>
    <col min="11" max="11" width="13.42578125" style="366" bestFit="1" customWidth="1"/>
    <col min="12" max="12" width="13.42578125" style="367" bestFit="1" customWidth="1"/>
    <col min="13" max="16384" width="11.42578125" style="367"/>
  </cols>
  <sheetData>
    <row r="2" spans="2:11" ht="15.75" thickBot="1" x14ac:dyDescent="0.3"/>
    <row r="3" spans="2:11" s="53" customFormat="1" ht="15.75" thickBot="1" x14ac:dyDescent="0.3">
      <c r="B3" s="1359" t="s">
        <v>1</v>
      </c>
      <c r="C3" s="1360"/>
      <c r="D3" s="1360"/>
      <c r="E3" s="1361"/>
      <c r="F3" s="1361"/>
      <c r="G3" s="1361"/>
      <c r="H3" s="1361"/>
      <c r="I3" s="1361"/>
      <c r="J3" s="1362"/>
      <c r="K3" s="54"/>
    </row>
    <row r="4" spans="2:11" s="53" customFormat="1" ht="15.75" thickBot="1" x14ac:dyDescent="0.3">
      <c r="B4" s="1129" t="s">
        <v>6</v>
      </c>
      <c r="C4" s="55" t="s">
        <v>17</v>
      </c>
      <c r="D4" s="56" t="s">
        <v>334</v>
      </c>
      <c r="E4" s="1131" t="s">
        <v>336</v>
      </c>
      <c r="F4" s="1116"/>
      <c r="G4" s="1115" t="s">
        <v>67</v>
      </c>
      <c r="H4" s="1116"/>
      <c r="I4" s="1115" t="s">
        <v>38</v>
      </c>
      <c r="J4" s="1116"/>
      <c r="K4" s="54"/>
    </row>
    <row r="5" spans="2:11" s="53" customFormat="1" ht="15.75" thickBot="1" x14ac:dyDescent="0.3">
      <c r="B5" s="1130"/>
      <c r="C5" s="57" t="s">
        <v>11</v>
      </c>
      <c r="D5" s="58" t="s">
        <v>0</v>
      </c>
      <c r="E5" s="59" t="s">
        <v>14</v>
      </c>
      <c r="F5" s="517" t="s">
        <v>10</v>
      </c>
      <c r="G5" s="59" t="s">
        <v>14</v>
      </c>
      <c r="H5" s="517" t="s">
        <v>10</v>
      </c>
      <c r="I5" s="59" t="s">
        <v>14</v>
      </c>
      <c r="J5" s="61" t="s">
        <v>10</v>
      </c>
      <c r="K5" s="54"/>
    </row>
    <row r="6" spans="2:11" s="362" customFormat="1" ht="15.75" thickBot="1" x14ac:dyDescent="0.3">
      <c r="B6" s="62">
        <v>1</v>
      </c>
      <c r="C6" s="356">
        <v>2</v>
      </c>
      <c r="D6" s="357" t="s">
        <v>335</v>
      </c>
      <c r="E6" s="358">
        <f>3452.05/2</f>
        <v>1726.0250000000001</v>
      </c>
      <c r="F6" s="359">
        <f>+E6*$C6</f>
        <v>3452.05</v>
      </c>
      <c r="G6" s="358">
        <f>3806.06/2</f>
        <v>1903.03</v>
      </c>
      <c r="H6" s="359">
        <f>+G6*$C6</f>
        <v>3806.06</v>
      </c>
      <c r="I6" s="358">
        <f>6456.4/2</f>
        <v>3228.2</v>
      </c>
      <c r="J6" s="360">
        <f>+I6*$C6</f>
        <v>6456.4</v>
      </c>
      <c r="K6" s="361"/>
    </row>
    <row r="7" spans="2:11" x14ac:dyDescent="0.25">
      <c r="B7" s="1132" t="s">
        <v>4</v>
      </c>
      <c r="C7" s="1133"/>
      <c r="D7" s="1134"/>
      <c r="E7" s="1117">
        <f>SUM(F6:F6)</f>
        <v>3452.05</v>
      </c>
      <c r="F7" s="1118"/>
      <c r="G7" s="1117">
        <f>SUM(H6:H6)</f>
        <v>3806.06</v>
      </c>
      <c r="H7" s="1118"/>
      <c r="I7" s="1117">
        <f>SUM(J6:J6)</f>
        <v>6456.4</v>
      </c>
      <c r="J7" s="1135"/>
    </row>
    <row r="8" spans="2:11" x14ac:dyDescent="0.25">
      <c r="B8" s="1123" t="s">
        <v>5</v>
      </c>
      <c r="C8" s="1124"/>
      <c r="D8" s="1125"/>
      <c r="E8" s="1270">
        <v>0.2</v>
      </c>
      <c r="F8" s="1271"/>
      <c r="G8" s="1119">
        <v>0</v>
      </c>
      <c r="H8" s="1120"/>
      <c r="I8" s="1119">
        <v>0</v>
      </c>
      <c r="J8" s="1126"/>
    </row>
    <row r="9" spans="2:11" x14ac:dyDescent="0.25">
      <c r="B9" s="1369" t="s">
        <v>2</v>
      </c>
      <c r="C9" s="1370"/>
      <c r="D9" s="1371"/>
      <c r="E9" s="1119">
        <f>(E7)*15%</f>
        <v>517.8075</v>
      </c>
      <c r="F9" s="1120"/>
      <c r="G9" s="1119">
        <f>(G7-G8)*15%</f>
        <v>570.90899999999999</v>
      </c>
      <c r="H9" s="1120"/>
      <c r="I9" s="1119">
        <f>(I7-I8)*15%</f>
        <v>968.45999999999992</v>
      </c>
      <c r="J9" s="1126"/>
    </row>
    <row r="10" spans="2:11" ht="15.75" thickBot="1" x14ac:dyDescent="0.3">
      <c r="B10" s="1363" t="s">
        <v>3</v>
      </c>
      <c r="C10" s="1364"/>
      <c r="D10" s="1365"/>
      <c r="E10" s="1366">
        <f>(E7)+E9</f>
        <v>3969.8575000000001</v>
      </c>
      <c r="F10" s="1367"/>
      <c r="G10" s="1366">
        <f>(G7-G8)+G9</f>
        <v>4376.9690000000001</v>
      </c>
      <c r="H10" s="1367"/>
      <c r="I10" s="1366">
        <f>(I7-I8)+I9</f>
        <v>7424.86</v>
      </c>
      <c r="J10" s="1368"/>
    </row>
    <row r="12" spans="2:11" x14ac:dyDescent="0.25">
      <c r="F12" s="368"/>
      <c r="G12" s="368"/>
      <c r="H12" s="368"/>
      <c r="J12" s="368"/>
    </row>
  </sheetData>
  <mergeCells count="21"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  <mergeCell ref="I7:J7"/>
    <mergeCell ref="B3:J3"/>
    <mergeCell ref="B4:B5"/>
    <mergeCell ref="E4:F4"/>
    <mergeCell ref="G4:H4"/>
    <mergeCell ref="I4:J4"/>
  </mergeCells>
  <conditionalFormatting sqref="F6 H6 J6">
    <cfRule type="expression" dxfId="349" priority="5">
      <formula>E6=""</formula>
    </cfRule>
    <cfRule type="expression" dxfId="348" priority="6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95472-A7B8-4F91-86BC-8EF2240320F6}">
  <sheetPr codeName="Hoja47"/>
  <dimension ref="A2:J12"/>
  <sheetViews>
    <sheetView showGridLines="0" workbookViewId="0">
      <selection activeCell="D4" sqref="D4:E4"/>
    </sheetView>
  </sheetViews>
  <sheetFormatPr baseColWidth="10" defaultRowHeight="12.75" x14ac:dyDescent="0.2"/>
  <cols>
    <col min="1" max="1" width="2.5703125" style="142" bestFit="1" customWidth="1"/>
    <col min="2" max="2" width="5.28515625" style="142" bestFit="1" customWidth="1"/>
    <col min="3" max="3" width="15.5703125" style="142" bestFit="1" customWidth="1"/>
    <col min="4" max="7" width="11" style="142" bestFit="1" customWidth="1"/>
    <col min="8" max="8" width="9.5703125" style="142" bestFit="1" customWidth="1"/>
    <col min="9" max="9" width="11" style="142" bestFit="1" customWidth="1"/>
    <col min="10" max="10" width="11.28515625" style="143" bestFit="1" customWidth="1"/>
    <col min="11" max="11" width="13.42578125" style="142" bestFit="1" customWidth="1"/>
    <col min="12" max="16384" width="11.42578125" style="142"/>
  </cols>
  <sheetData>
    <row r="2" spans="1:10" ht="13.5" thickBot="1" x14ac:dyDescent="0.25"/>
    <row r="3" spans="1:10" s="73" customFormat="1" ht="13.5" thickBot="1" x14ac:dyDescent="0.25">
      <c r="A3" s="1220" t="s">
        <v>1</v>
      </c>
      <c r="B3" s="1222"/>
      <c r="C3" s="1222"/>
      <c r="D3" s="1222"/>
      <c r="E3" s="1222"/>
      <c r="F3" s="1222"/>
      <c r="G3" s="1222"/>
      <c r="H3" s="1222"/>
      <c r="I3" s="1223"/>
      <c r="J3" s="74"/>
    </row>
    <row r="4" spans="1:10" s="73" customFormat="1" x14ac:dyDescent="0.25">
      <c r="A4" s="1449" t="s">
        <v>6</v>
      </c>
      <c r="B4" s="541" t="s">
        <v>17</v>
      </c>
      <c r="C4" s="542" t="s">
        <v>295</v>
      </c>
      <c r="D4" s="1288" t="s">
        <v>53</v>
      </c>
      <c r="E4" s="1288"/>
      <c r="F4" s="1288" t="s">
        <v>72</v>
      </c>
      <c r="G4" s="1288"/>
      <c r="H4" s="1288" t="s">
        <v>51</v>
      </c>
      <c r="I4" s="1289"/>
      <c r="J4" s="74"/>
    </row>
    <row r="5" spans="1:10" s="73" customFormat="1" ht="13.5" thickBot="1" x14ac:dyDescent="0.3">
      <c r="A5" s="1450"/>
      <c r="B5" s="543" t="s">
        <v>11</v>
      </c>
      <c r="C5" s="78" t="s">
        <v>0</v>
      </c>
      <c r="D5" s="78" t="s">
        <v>14</v>
      </c>
      <c r="E5" s="78" t="s">
        <v>10</v>
      </c>
      <c r="F5" s="78" t="s">
        <v>14</v>
      </c>
      <c r="G5" s="78" t="s">
        <v>10</v>
      </c>
      <c r="H5" s="78" t="s">
        <v>14</v>
      </c>
      <c r="I5" s="79" t="s">
        <v>10</v>
      </c>
      <c r="J5" s="74"/>
    </row>
    <row r="6" spans="1:10" s="150" customFormat="1" ht="26.25" thickBot="1" x14ac:dyDescent="0.25">
      <c r="A6" s="539">
        <v>2</v>
      </c>
      <c r="B6" s="256">
        <v>4</v>
      </c>
      <c r="C6" s="89" t="s">
        <v>297</v>
      </c>
      <c r="D6" s="544">
        <f>(166.04/4)*35.92</f>
        <v>1491.0391999999999</v>
      </c>
      <c r="E6" s="90">
        <f>+D6*$B6</f>
        <v>5964.1567999999997</v>
      </c>
      <c r="F6" s="90">
        <v>1700</v>
      </c>
      <c r="G6" s="90">
        <f>+F6*$B6</f>
        <v>6800</v>
      </c>
      <c r="H6" s="90">
        <v>750</v>
      </c>
      <c r="I6" s="91">
        <f>+H6*$B6</f>
        <v>3000</v>
      </c>
      <c r="J6" s="545" t="s">
        <v>337</v>
      </c>
    </row>
    <row r="7" spans="1:10" x14ac:dyDescent="0.2">
      <c r="A7" s="1138" t="s">
        <v>4</v>
      </c>
      <c r="B7" s="1139"/>
      <c r="C7" s="1139"/>
      <c r="D7" s="1140">
        <f>SUM(E6:E6)</f>
        <v>5964.1567999999997</v>
      </c>
      <c r="E7" s="1140"/>
      <c r="F7" s="1140">
        <f>SUM(G6:G6)</f>
        <v>6800</v>
      </c>
      <c r="G7" s="1140"/>
      <c r="H7" s="1140">
        <f>SUM(I6:I6)</f>
        <v>3000</v>
      </c>
      <c r="I7" s="1141"/>
    </row>
    <row r="8" spans="1:10" x14ac:dyDescent="0.2">
      <c r="A8" s="1149" t="s">
        <v>5</v>
      </c>
      <c r="B8" s="1150"/>
      <c r="C8" s="1150"/>
      <c r="D8" s="1152">
        <v>0.2</v>
      </c>
      <c r="E8" s="1152"/>
      <c r="F8" s="1151">
        <v>0</v>
      </c>
      <c r="G8" s="1151"/>
      <c r="H8" s="1151">
        <v>0</v>
      </c>
      <c r="I8" s="1154"/>
    </row>
    <row r="9" spans="1:10" x14ac:dyDescent="0.2">
      <c r="A9" s="1224" t="s">
        <v>2</v>
      </c>
      <c r="B9" s="1225"/>
      <c r="C9" s="1225"/>
      <c r="D9" s="1151">
        <f>(D7)*15%</f>
        <v>894.62351999999998</v>
      </c>
      <c r="E9" s="1151"/>
      <c r="F9" s="1151">
        <v>0</v>
      </c>
      <c r="G9" s="1151"/>
      <c r="H9" s="1151">
        <v>0</v>
      </c>
      <c r="I9" s="1154"/>
    </row>
    <row r="10" spans="1:10" ht="13.5" thickBot="1" x14ac:dyDescent="0.25">
      <c r="A10" s="1232" t="s">
        <v>3</v>
      </c>
      <c r="B10" s="1233"/>
      <c r="C10" s="1233"/>
      <c r="D10" s="1447">
        <f>(D7)+D9</f>
        <v>6858.7803199999998</v>
      </c>
      <c r="E10" s="1447"/>
      <c r="F10" s="1447">
        <f>(F7-F8)+F9</f>
        <v>6800</v>
      </c>
      <c r="G10" s="1447"/>
      <c r="H10" s="1447">
        <f>(H7-H8)+H9</f>
        <v>3000</v>
      </c>
      <c r="I10" s="1448"/>
    </row>
    <row r="12" spans="1:10" x14ac:dyDescent="0.2">
      <c r="E12" s="155"/>
      <c r="F12" s="155"/>
      <c r="G12" s="155"/>
      <c r="I12" s="155"/>
    </row>
  </sheetData>
  <mergeCells count="21">
    <mergeCell ref="A3:I3"/>
    <mergeCell ref="A4:A5"/>
    <mergeCell ref="D4:E4"/>
    <mergeCell ref="F4:G4"/>
    <mergeCell ref="H4:I4"/>
    <mergeCell ref="A7:C7"/>
    <mergeCell ref="D7:E7"/>
    <mergeCell ref="F7:G7"/>
    <mergeCell ref="H7:I7"/>
    <mergeCell ref="A8:C8"/>
    <mergeCell ref="D8:E8"/>
    <mergeCell ref="F8:G8"/>
    <mergeCell ref="H8:I8"/>
    <mergeCell ref="A9:C9"/>
    <mergeCell ref="D9:E9"/>
    <mergeCell ref="F9:G9"/>
    <mergeCell ref="H9:I9"/>
    <mergeCell ref="A10:C10"/>
    <mergeCell ref="D10:E10"/>
    <mergeCell ref="F10:G10"/>
    <mergeCell ref="H10:I10"/>
  </mergeCells>
  <conditionalFormatting sqref="E6 G6 I6">
    <cfRule type="expression" dxfId="347" priority="3">
      <formula>D6=""</formula>
    </cfRule>
  </conditionalFormatting>
  <conditionalFormatting sqref="E6 G6 I6">
    <cfRule type="expression" dxfId="346" priority="153">
      <formula>D6=MIN($D6,$F6,#REF!,$H6)</formula>
    </cfRule>
  </conditionalFormatting>
  <pageMargins left="0.25" right="0.25" top="0.75" bottom="0.75" header="0.3" footer="0.3"/>
  <pageSetup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6AAF3-006A-498A-B295-686079D8C0A3}">
  <sheetPr codeName="Hoja48"/>
  <dimension ref="B2:I12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8" width="14.1406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338</v>
      </c>
      <c r="E4" s="1252" t="s">
        <v>49</v>
      </c>
      <c r="F4" s="1251"/>
      <c r="G4" s="1248" t="s">
        <v>333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540" t="s">
        <v>10</v>
      </c>
      <c r="G5" s="31" t="s">
        <v>14</v>
      </c>
      <c r="H5" s="32" t="s">
        <v>10</v>
      </c>
      <c r="I5" s="6"/>
    </row>
    <row r="6" spans="2:9" s="3" customFormat="1" ht="18" thickBot="1" x14ac:dyDescent="0.35">
      <c r="B6" s="19">
        <v>1</v>
      </c>
      <c r="C6" s="16">
        <v>4</v>
      </c>
      <c r="D6" s="9" t="s">
        <v>339</v>
      </c>
      <c r="E6" s="24">
        <f>14631.84/4</f>
        <v>3657.96</v>
      </c>
      <c r="F6" s="23">
        <f>+E6*$C6</f>
        <v>14631.84</v>
      </c>
      <c r="G6" s="24">
        <f>2203.39-(2203.39*0.1)</f>
        <v>1983.0509999999999</v>
      </c>
      <c r="H6" s="27">
        <f>G6*2</f>
        <v>3966.1019999999999</v>
      </c>
      <c r="I6" s="547" t="s">
        <v>231</v>
      </c>
    </row>
    <row r="7" spans="2:9" x14ac:dyDescent="0.3">
      <c r="B7" s="1217" t="s">
        <v>4</v>
      </c>
      <c r="C7" s="1218"/>
      <c r="D7" s="1219"/>
      <c r="E7" s="1245">
        <f>SUM(F6:F6)</f>
        <v>14631.84</v>
      </c>
      <c r="F7" s="1246"/>
      <c r="G7" s="1245">
        <f>SUM(H6:H6)</f>
        <v>3966.1019999999999</v>
      </c>
      <c r="H7" s="1247"/>
    </row>
    <row r="8" spans="2:9" x14ac:dyDescent="0.3">
      <c r="B8" s="1205" t="s">
        <v>5</v>
      </c>
      <c r="C8" s="1206"/>
      <c r="D8" s="1207"/>
      <c r="E8" s="1242">
        <v>0</v>
      </c>
      <c r="F8" s="1243"/>
      <c r="G8" s="1283">
        <v>0.1</v>
      </c>
      <c r="H8" s="1322"/>
    </row>
    <row r="9" spans="2:9" x14ac:dyDescent="0.3">
      <c r="B9" s="1208" t="s">
        <v>2</v>
      </c>
      <c r="C9" s="1209"/>
      <c r="D9" s="1210"/>
      <c r="E9" s="1242">
        <f>(E7-E8)*15%</f>
        <v>2194.7759999999998</v>
      </c>
      <c r="F9" s="1243"/>
      <c r="G9" s="1242">
        <f>(G7)*15%</f>
        <v>594.9153</v>
      </c>
      <c r="H9" s="1244"/>
    </row>
    <row r="10" spans="2:9" ht="18" thickBot="1" x14ac:dyDescent="0.35">
      <c r="B10" s="1202" t="s">
        <v>3</v>
      </c>
      <c r="C10" s="1203"/>
      <c r="D10" s="1204"/>
      <c r="E10" s="1253">
        <f>(E7-E8)+E9</f>
        <v>16826.616000000002</v>
      </c>
      <c r="F10" s="1254"/>
      <c r="G10" s="1253">
        <f>(G7)+G9</f>
        <v>4561.0172999999995</v>
      </c>
      <c r="H10" s="1255"/>
    </row>
    <row r="12" spans="2:9" x14ac:dyDescent="0.3">
      <c r="F12" s="4"/>
      <c r="G12" s="4"/>
      <c r="H12" s="4"/>
    </row>
  </sheetData>
  <mergeCells count="16"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3:H3"/>
    <mergeCell ref="B4:B5"/>
    <mergeCell ref="E4:F4"/>
    <mergeCell ref="G4:H4"/>
    <mergeCell ref="B7:D7"/>
    <mergeCell ref="E7:F7"/>
    <mergeCell ref="G7:H7"/>
  </mergeCells>
  <conditionalFormatting sqref="F6 H6">
    <cfRule type="expression" dxfId="345" priority="154">
      <formula>E6=""</formula>
    </cfRule>
    <cfRule type="expression" dxfId="344" priority="155">
      <formula>E6=MIN($E6,$G6,#REF!)</formula>
    </cfRule>
  </conditionalFormatting>
  <pageMargins left="0.25" right="0.25" top="0.75" bottom="0.75" header="0.3" footer="0.3"/>
  <pageSetup orientation="landscape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C684D6-C7CE-4E2E-808F-231F9EBBDFEC}">
  <sheetPr codeName="Hoja49"/>
  <dimension ref="B2:M18"/>
  <sheetViews>
    <sheetView showGridLines="0" workbookViewId="0">
      <selection activeCell="D6" sqref="D6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6.140625" style="108" bestFit="1" customWidth="1"/>
    <col min="5" max="5" width="11.140625" style="108" bestFit="1" customWidth="1"/>
    <col min="6" max="6" width="12.85546875" style="108" bestFit="1" customWidth="1"/>
    <col min="7" max="9" width="11.140625" style="108" bestFit="1" customWidth="1"/>
    <col min="10" max="10" width="12.85546875" style="108" bestFit="1" customWidth="1"/>
    <col min="11" max="11" width="11.140625" style="108" bestFit="1" customWidth="1"/>
    <col min="12" max="12" width="12.85546875" style="108" bestFit="1" customWidth="1"/>
    <col min="13" max="13" width="13.42578125" style="109" bestFit="1" customWidth="1"/>
    <col min="14" max="14" width="13.42578125" style="108" bestFit="1" customWidth="1"/>
    <col min="15" max="16384" width="11.42578125" style="108"/>
  </cols>
  <sheetData>
    <row r="2" spans="2:13" ht="16.5" thickBot="1" x14ac:dyDescent="0.3"/>
    <row r="3" spans="2:13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0"/>
      <c r="K3" s="1180"/>
      <c r="L3" s="1181"/>
      <c r="M3" s="35"/>
    </row>
    <row r="4" spans="2:13" s="34" customFormat="1" ht="16.5" thickBot="1" x14ac:dyDescent="0.3">
      <c r="B4" s="1182" t="s">
        <v>6</v>
      </c>
      <c r="C4" s="110" t="s">
        <v>17</v>
      </c>
      <c r="D4" s="111" t="s">
        <v>340</v>
      </c>
      <c r="E4" s="1184" t="s">
        <v>66</v>
      </c>
      <c r="F4" s="1102"/>
      <c r="G4" s="1100" t="s">
        <v>333</v>
      </c>
      <c r="H4" s="1102"/>
      <c r="I4" s="1100" t="s">
        <v>311</v>
      </c>
      <c r="J4" s="1102"/>
      <c r="K4" s="1100" t="s">
        <v>67</v>
      </c>
      <c r="L4" s="1102"/>
      <c r="M4" s="35"/>
    </row>
    <row r="5" spans="2:13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546" t="s">
        <v>10</v>
      </c>
      <c r="G5" s="114" t="s">
        <v>14</v>
      </c>
      <c r="H5" s="546" t="s">
        <v>10</v>
      </c>
      <c r="I5" s="114" t="s">
        <v>14</v>
      </c>
      <c r="J5" s="116" t="s">
        <v>10</v>
      </c>
      <c r="K5" s="114" t="s">
        <v>14</v>
      </c>
      <c r="L5" s="116" t="s">
        <v>10</v>
      </c>
      <c r="M5" s="35"/>
    </row>
    <row r="6" spans="2:13" s="124" customFormat="1" x14ac:dyDescent="0.25">
      <c r="B6" s="117">
        <v>1</v>
      </c>
      <c r="C6" s="118">
        <v>1</v>
      </c>
      <c r="D6" s="119" t="s">
        <v>341</v>
      </c>
      <c r="E6" s="120">
        <v>395</v>
      </c>
      <c r="F6" s="121">
        <f>+E6*$C6</f>
        <v>395</v>
      </c>
      <c r="G6" s="120">
        <v>945.85</v>
      </c>
      <c r="H6" s="121">
        <f>+G6*$C6</f>
        <v>945.85</v>
      </c>
      <c r="I6" s="120">
        <v>160.88</v>
      </c>
      <c r="J6" s="122">
        <f>+I6*$C6</f>
        <v>160.88</v>
      </c>
      <c r="K6" s="120">
        <v>240.0489</v>
      </c>
      <c r="L6" s="122">
        <f>+K6*$C6</f>
        <v>240.0489</v>
      </c>
      <c r="M6" s="123"/>
    </row>
    <row r="7" spans="2:13" s="124" customFormat="1" x14ac:dyDescent="0.25">
      <c r="B7" s="125">
        <v>2</v>
      </c>
      <c r="C7" s="126">
        <v>6</v>
      </c>
      <c r="D7" s="127" t="s">
        <v>342</v>
      </c>
      <c r="E7" s="128">
        <v>38</v>
      </c>
      <c r="F7" s="121">
        <f t="shared" ref="F7:F11" si="0">+E7*$C7</f>
        <v>228</v>
      </c>
      <c r="G7" s="128">
        <v>40.08</v>
      </c>
      <c r="H7" s="121">
        <f t="shared" ref="H7:H12" si="1">+G7*$C7</f>
        <v>240.48</v>
      </c>
      <c r="I7" s="128">
        <v>35.71</v>
      </c>
      <c r="J7" s="122">
        <f>+I7*$C7</f>
        <v>214.26</v>
      </c>
      <c r="K7" s="128">
        <v>47.782899999999998</v>
      </c>
      <c r="L7" s="122">
        <f t="shared" ref="L7:L12" si="2">+K7*$C7</f>
        <v>286.69740000000002</v>
      </c>
      <c r="M7" s="123"/>
    </row>
    <row r="8" spans="2:13" s="124" customFormat="1" x14ac:dyDescent="0.25">
      <c r="B8" s="125">
        <v>3</v>
      </c>
      <c r="C8" s="126">
        <v>2</v>
      </c>
      <c r="D8" s="127" t="s">
        <v>343</v>
      </c>
      <c r="E8" s="128">
        <v>70</v>
      </c>
      <c r="F8" s="121">
        <f t="shared" si="0"/>
        <v>140</v>
      </c>
      <c r="G8" s="128">
        <v>55.2</v>
      </c>
      <c r="H8" s="121">
        <f t="shared" si="1"/>
        <v>110.4</v>
      </c>
      <c r="I8" s="128">
        <v>63.71</v>
      </c>
      <c r="J8" s="122">
        <f>+I8*$C8</f>
        <v>127.42</v>
      </c>
      <c r="K8" s="128">
        <v>51.8934</v>
      </c>
      <c r="L8" s="122">
        <f t="shared" si="2"/>
        <v>103.7868</v>
      </c>
      <c r="M8" s="123"/>
    </row>
    <row r="9" spans="2:13" s="124" customFormat="1" x14ac:dyDescent="0.25">
      <c r="B9" s="125">
        <v>4</v>
      </c>
      <c r="C9" s="126">
        <v>1</v>
      </c>
      <c r="D9" s="127" t="s">
        <v>344</v>
      </c>
      <c r="E9" s="128">
        <v>70</v>
      </c>
      <c r="F9" s="121">
        <f t="shared" si="0"/>
        <v>70</v>
      </c>
      <c r="G9" s="128">
        <v>69.930000000000007</v>
      </c>
      <c r="H9" s="121">
        <f t="shared" si="1"/>
        <v>69.930000000000007</v>
      </c>
      <c r="I9" s="128" t="s">
        <v>36</v>
      </c>
      <c r="J9" s="122" t="s">
        <v>36</v>
      </c>
      <c r="K9" s="128">
        <v>133.42949999999999</v>
      </c>
      <c r="L9" s="122">
        <f>+K9*C9</f>
        <v>133.42949999999999</v>
      </c>
      <c r="M9" s="123"/>
    </row>
    <row r="10" spans="2:13" s="124" customFormat="1" x14ac:dyDescent="0.25">
      <c r="B10" s="117">
        <v>5</v>
      </c>
      <c r="C10" s="548">
        <v>200</v>
      </c>
      <c r="D10" s="425" t="s">
        <v>345</v>
      </c>
      <c r="E10" s="549">
        <v>1.95</v>
      </c>
      <c r="F10" s="121">
        <f t="shared" si="0"/>
        <v>390</v>
      </c>
      <c r="G10" s="549" t="s">
        <v>36</v>
      </c>
      <c r="H10" s="121" t="s">
        <v>36</v>
      </c>
      <c r="I10" s="549" t="s">
        <v>36</v>
      </c>
      <c r="J10" s="122" t="s">
        <v>36</v>
      </c>
      <c r="K10" s="549">
        <v>1.0087999999999999</v>
      </c>
      <c r="L10" s="122">
        <f>+K10*C10</f>
        <v>201.76</v>
      </c>
      <c r="M10" s="123"/>
    </row>
    <row r="11" spans="2:13" s="124" customFormat="1" x14ac:dyDescent="0.25">
      <c r="B11" s="125">
        <v>6</v>
      </c>
      <c r="C11" s="548">
        <v>2</v>
      </c>
      <c r="D11" s="425" t="s">
        <v>346</v>
      </c>
      <c r="E11" s="549">
        <v>940</v>
      </c>
      <c r="F11" s="121">
        <f t="shared" si="0"/>
        <v>1880</v>
      </c>
      <c r="G11" s="549" t="s">
        <v>36</v>
      </c>
      <c r="H11" s="121" t="s">
        <v>36</v>
      </c>
      <c r="I11" s="549">
        <v>801.65</v>
      </c>
      <c r="J11" s="122">
        <f>+I11*C11</f>
        <v>1603.3</v>
      </c>
      <c r="K11" s="549">
        <v>894.03560000000004</v>
      </c>
      <c r="L11" s="122">
        <f>+K11*C11</f>
        <v>1788.0712000000001</v>
      </c>
      <c r="M11" s="123"/>
    </row>
    <row r="12" spans="2:13" s="124" customFormat="1" ht="16.5" thickBot="1" x14ac:dyDescent="0.3">
      <c r="B12" s="125">
        <v>7</v>
      </c>
      <c r="C12" s="548">
        <v>2</v>
      </c>
      <c r="D12" s="425" t="s">
        <v>347</v>
      </c>
      <c r="E12" s="550">
        <v>295</v>
      </c>
      <c r="F12" s="121">
        <f>+E12*$C12</f>
        <v>590</v>
      </c>
      <c r="G12" s="550">
        <v>323.85000000000002</v>
      </c>
      <c r="H12" s="121">
        <f t="shared" si="1"/>
        <v>647.70000000000005</v>
      </c>
      <c r="I12" s="550">
        <v>292.17</v>
      </c>
      <c r="J12" s="122">
        <f t="shared" ref="J12" si="3">+I12*$C12</f>
        <v>584.34</v>
      </c>
      <c r="K12" s="550">
        <v>365.96100000000001</v>
      </c>
      <c r="L12" s="122">
        <f t="shared" si="2"/>
        <v>731.92200000000003</v>
      </c>
      <c r="M12" s="123"/>
    </row>
    <row r="13" spans="2:13" x14ac:dyDescent="0.25">
      <c r="B13" s="1094" t="s">
        <v>4</v>
      </c>
      <c r="C13" s="1095"/>
      <c r="D13" s="1185"/>
      <c r="E13" s="1186">
        <f>SUM(F6:F12)</f>
        <v>3693</v>
      </c>
      <c r="F13" s="1187"/>
      <c r="G13" s="1186">
        <f>SUM(H6:H12)</f>
        <v>2014.3600000000001</v>
      </c>
      <c r="H13" s="1187"/>
      <c r="I13" s="1186">
        <f>SUM(J6:J12)</f>
        <v>2690.2000000000003</v>
      </c>
      <c r="J13" s="1188"/>
      <c r="K13" s="1186">
        <f>SUM(L6:L12)</f>
        <v>3485.7157999999999</v>
      </c>
      <c r="L13" s="1188"/>
    </row>
    <row r="14" spans="2:13" x14ac:dyDescent="0.25">
      <c r="B14" s="1451" t="s">
        <v>5</v>
      </c>
      <c r="C14" s="1452"/>
      <c r="D14" s="1453"/>
      <c r="E14" s="1176">
        <v>0</v>
      </c>
      <c r="F14" s="1196"/>
      <c r="G14" s="1176">
        <v>0</v>
      </c>
      <c r="H14" s="1196"/>
      <c r="I14" s="1176">
        <v>0</v>
      </c>
      <c r="J14" s="1177"/>
      <c r="K14" s="1344">
        <v>0</v>
      </c>
      <c r="L14" s="1177"/>
    </row>
    <row r="15" spans="2:13" x14ac:dyDescent="0.25">
      <c r="B15" s="1199" t="s">
        <v>2</v>
      </c>
      <c r="C15" s="1200"/>
      <c r="D15" s="1201"/>
      <c r="E15" s="1176">
        <v>0</v>
      </c>
      <c r="F15" s="1196"/>
      <c r="G15" s="1176">
        <f>(G13-G14)*15%</f>
        <v>302.154</v>
      </c>
      <c r="H15" s="1196"/>
      <c r="I15" s="1176">
        <f>(I13-I14)*15%</f>
        <v>403.53000000000003</v>
      </c>
      <c r="J15" s="1177"/>
      <c r="K15" s="1176">
        <f>(K13-K14)*15%</f>
        <v>522.85736999999995</v>
      </c>
      <c r="L15" s="1177"/>
    </row>
    <row r="16" spans="2:13" ht="16.5" thickBot="1" x14ac:dyDescent="0.3">
      <c r="B16" s="1189" t="s">
        <v>3</v>
      </c>
      <c r="C16" s="1190"/>
      <c r="D16" s="1191"/>
      <c r="E16" s="1192">
        <f>(E13-E14)+E15</f>
        <v>3693</v>
      </c>
      <c r="F16" s="1193"/>
      <c r="G16" s="1192">
        <f>(G13-G14)+G15</f>
        <v>2316.5140000000001</v>
      </c>
      <c r="H16" s="1193"/>
      <c r="I16" s="1192">
        <f>(I13-I14)+I15</f>
        <v>3093.7300000000005</v>
      </c>
      <c r="J16" s="1194"/>
      <c r="K16" s="1192">
        <f>(K13-K14)+K15</f>
        <v>4008.5731699999997</v>
      </c>
      <c r="L16" s="1194"/>
    </row>
    <row r="18" spans="6:12" x14ac:dyDescent="0.25">
      <c r="F18" s="129"/>
      <c r="G18" s="129"/>
      <c r="H18" s="129"/>
      <c r="I18" s="129"/>
      <c r="J18" s="129"/>
      <c r="L18" s="129"/>
    </row>
  </sheetData>
  <mergeCells count="26">
    <mergeCell ref="K15:L15"/>
    <mergeCell ref="B3:L3"/>
    <mergeCell ref="B4:B5"/>
    <mergeCell ref="E4:F4"/>
    <mergeCell ref="G4:H4"/>
    <mergeCell ref="K4:L4"/>
    <mergeCell ref="B13:D13"/>
    <mergeCell ref="E13:F13"/>
    <mergeCell ref="G13:H13"/>
    <mergeCell ref="K13:L13"/>
    <mergeCell ref="B16:D16"/>
    <mergeCell ref="E16:F16"/>
    <mergeCell ref="G16:H16"/>
    <mergeCell ref="K16:L16"/>
    <mergeCell ref="I4:J4"/>
    <mergeCell ref="I13:J13"/>
    <mergeCell ref="I14:J14"/>
    <mergeCell ref="I15:J15"/>
    <mergeCell ref="I16:J16"/>
    <mergeCell ref="B14:D14"/>
    <mergeCell ref="E14:F14"/>
    <mergeCell ref="G14:H14"/>
    <mergeCell ref="K14:L14"/>
    <mergeCell ref="B15:D15"/>
    <mergeCell ref="E15:F15"/>
    <mergeCell ref="G15:H15"/>
  </mergeCells>
  <conditionalFormatting sqref="F6:F12">
    <cfRule type="expression" dxfId="343" priority="7">
      <formula>E6=""</formula>
    </cfRule>
  </conditionalFormatting>
  <conditionalFormatting sqref="H6:H12">
    <cfRule type="expression" dxfId="342" priority="5">
      <formula>G6=""</formula>
    </cfRule>
  </conditionalFormatting>
  <conditionalFormatting sqref="L6:L12">
    <cfRule type="expression" dxfId="341" priority="3">
      <formula>K6=""</formula>
    </cfRule>
  </conditionalFormatting>
  <conditionalFormatting sqref="J6:J12">
    <cfRule type="expression" dxfId="340" priority="1">
      <formula>I6=""</formula>
    </cfRule>
  </conditionalFormatting>
  <conditionalFormatting sqref="F6:F12 H6:H12 J6:J12 L6:L12">
    <cfRule type="expression" dxfId="339" priority="8">
      <formula>E6=MIN($E6,$G6,$I6,$K6)</formula>
    </cfRule>
  </conditionalFormatting>
  <pageMargins left="0.25" right="0.25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14A8E-FA63-45BD-A5D8-9A03C43DB8BF}">
  <sheetPr codeName="Hoja5"/>
  <dimension ref="B2:M18"/>
  <sheetViews>
    <sheetView showGridLines="0" workbookViewId="0"/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6.140625" style="108" bestFit="1" customWidth="1"/>
    <col min="5" max="5" width="11.140625" style="108" bestFit="1" customWidth="1"/>
    <col min="6" max="6" width="12.85546875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2" width="12.85546875" style="108" bestFit="1" customWidth="1"/>
    <col min="13" max="13" width="13.42578125" style="109" bestFit="1" customWidth="1"/>
    <col min="14" max="14" width="13.42578125" style="108" bestFit="1" customWidth="1"/>
    <col min="15" max="16384" width="11.42578125" style="108"/>
  </cols>
  <sheetData>
    <row r="2" spans="2:13" ht="16.5" thickBot="1" x14ac:dyDescent="0.3"/>
    <row r="3" spans="2:13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0"/>
      <c r="K3" s="1180"/>
      <c r="L3" s="1181"/>
      <c r="M3" s="35"/>
    </row>
    <row r="4" spans="2:13" s="34" customFormat="1" ht="16.5" thickBot="1" x14ac:dyDescent="0.3">
      <c r="B4" s="1182" t="s">
        <v>6</v>
      </c>
      <c r="C4" s="110" t="s">
        <v>17</v>
      </c>
      <c r="D4" s="111" t="s">
        <v>58</v>
      </c>
      <c r="E4" s="1184" t="s">
        <v>66</v>
      </c>
      <c r="F4" s="1102"/>
      <c r="G4" s="1100" t="s">
        <v>67</v>
      </c>
      <c r="H4" s="1102"/>
      <c r="I4" s="1100" t="s">
        <v>68</v>
      </c>
      <c r="J4" s="1102"/>
      <c r="K4" s="1100" t="s">
        <v>69</v>
      </c>
      <c r="L4" s="1102"/>
      <c r="M4" s="35"/>
    </row>
    <row r="5" spans="2:13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115" t="s">
        <v>10</v>
      </c>
      <c r="G5" s="114" t="s">
        <v>14</v>
      </c>
      <c r="H5" s="115" t="s">
        <v>10</v>
      </c>
      <c r="I5" s="114" t="s">
        <v>14</v>
      </c>
      <c r="J5" s="116" t="s">
        <v>10</v>
      </c>
      <c r="K5" s="114" t="s">
        <v>14</v>
      </c>
      <c r="L5" s="116" t="s">
        <v>10</v>
      </c>
      <c r="M5" s="35"/>
    </row>
    <row r="6" spans="2:13" s="124" customFormat="1" x14ac:dyDescent="0.25">
      <c r="B6" s="117">
        <v>1</v>
      </c>
      <c r="C6" s="118">
        <f>4+9+4</f>
        <v>17</v>
      </c>
      <c r="D6" s="119" t="s">
        <v>59</v>
      </c>
      <c r="E6" s="120">
        <v>390</v>
      </c>
      <c r="F6" s="121">
        <f>+E6*C6</f>
        <v>6630</v>
      </c>
      <c r="G6" s="120">
        <v>328.96319999999997</v>
      </c>
      <c r="H6" s="121">
        <f>+G6*C6</f>
        <v>5592.3743999999997</v>
      </c>
      <c r="I6" s="120">
        <v>304.25</v>
      </c>
      <c r="J6" s="122">
        <f>+I6*C6</f>
        <v>5172.25</v>
      </c>
      <c r="K6" s="120" t="s">
        <v>36</v>
      </c>
      <c r="L6" s="122" t="s">
        <v>36</v>
      </c>
      <c r="M6" s="123"/>
    </row>
    <row r="7" spans="2:13" s="124" customFormat="1" x14ac:dyDescent="0.25">
      <c r="B7" s="125">
        <v>2</v>
      </c>
      <c r="C7" s="126">
        <f>9+7</f>
        <v>16</v>
      </c>
      <c r="D7" s="127" t="s">
        <v>60</v>
      </c>
      <c r="E7" s="128">
        <v>146</v>
      </c>
      <c r="F7" s="121">
        <f t="shared" ref="F7:F9" si="0">+E7*C7</f>
        <v>2336</v>
      </c>
      <c r="G7" s="128">
        <v>137.30549999999999</v>
      </c>
      <c r="H7" s="121">
        <f t="shared" ref="H7:H9" si="1">+G7*C7</f>
        <v>2196.8879999999999</v>
      </c>
      <c r="I7" s="128">
        <v>143.47999999999999</v>
      </c>
      <c r="J7" s="122">
        <f t="shared" ref="J7:J12" si="2">+I7*C7</f>
        <v>2295.6799999999998</v>
      </c>
      <c r="K7" s="128">
        <f>(6.5-(6.5*5%))*TC!C3</f>
        <v>220.41539</v>
      </c>
      <c r="L7" s="122">
        <f t="shared" ref="L7:L12" si="3">+K7*C7</f>
        <v>3526.64624</v>
      </c>
      <c r="M7" s="123"/>
    </row>
    <row r="8" spans="2:13" s="124" customFormat="1" x14ac:dyDescent="0.25">
      <c r="B8" s="125">
        <v>3</v>
      </c>
      <c r="C8" s="126">
        <v>2</v>
      </c>
      <c r="D8" s="127" t="s">
        <v>61</v>
      </c>
      <c r="E8" s="128">
        <v>285</v>
      </c>
      <c r="F8" s="121">
        <f t="shared" si="0"/>
        <v>570</v>
      </c>
      <c r="G8" s="128">
        <v>108.1344</v>
      </c>
      <c r="H8" s="121">
        <f t="shared" si="1"/>
        <v>216.2688</v>
      </c>
      <c r="I8" s="128">
        <v>146.09</v>
      </c>
      <c r="J8" s="122">
        <f t="shared" si="2"/>
        <v>292.18</v>
      </c>
      <c r="K8" s="128">
        <f>(2.85-(2.85*0.05))*TC!C3</f>
        <v>96.643670999999998</v>
      </c>
      <c r="L8" s="122">
        <f t="shared" si="3"/>
        <v>193.287342</v>
      </c>
      <c r="M8" s="123"/>
    </row>
    <row r="9" spans="2:13" s="124" customFormat="1" x14ac:dyDescent="0.25">
      <c r="B9" s="125">
        <v>4</v>
      </c>
      <c r="C9" s="126">
        <v>5</v>
      </c>
      <c r="D9" s="127" t="s">
        <v>62</v>
      </c>
      <c r="E9" s="128">
        <v>64</v>
      </c>
      <c r="F9" s="121">
        <f t="shared" si="0"/>
        <v>320</v>
      </c>
      <c r="G9" s="128">
        <v>64.53</v>
      </c>
      <c r="H9" s="121">
        <f t="shared" si="1"/>
        <v>322.64999999999998</v>
      </c>
      <c r="I9" s="128">
        <v>65.22</v>
      </c>
      <c r="J9" s="122">
        <f t="shared" si="2"/>
        <v>326.10000000000002</v>
      </c>
      <c r="K9" s="128">
        <f>(3.5-(3.5*0.05))*TC!C3</f>
        <v>118.68521000000001</v>
      </c>
      <c r="L9" s="122">
        <f t="shared" si="3"/>
        <v>593.42605000000003</v>
      </c>
      <c r="M9" s="123"/>
    </row>
    <row r="10" spans="2:13" s="124" customFormat="1" x14ac:dyDescent="0.25">
      <c r="B10" s="117">
        <v>5</v>
      </c>
      <c r="C10" s="118">
        <v>2</v>
      </c>
      <c r="D10" s="119" t="s">
        <v>63</v>
      </c>
      <c r="E10" s="120">
        <v>34</v>
      </c>
      <c r="F10" s="121">
        <f>+E10*C10</f>
        <v>68</v>
      </c>
      <c r="G10" s="120">
        <v>31.547999999999998</v>
      </c>
      <c r="H10" s="121">
        <f>+G10*C10</f>
        <v>63.095999999999997</v>
      </c>
      <c r="I10" s="120">
        <v>33.04</v>
      </c>
      <c r="J10" s="122">
        <f t="shared" si="2"/>
        <v>66.08</v>
      </c>
      <c r="K10" s="120">
        <f>(1.85-(1.85*0.05))*TC!C3</f>
        <v>62.733611000000003</v>
      </c>
      <c r="L10" s="122">
        <f t="shared" si="3"/>
        <v>125.46722200000001</v>
      </c>
      <c r="M10" s="123"/>
    </row>
    <row r="11" spans="2:13" s="124" customFormat="1" x14ac:dyDescent="0.25">
      <c r="B11" s="125">
        <v>6</v>
      </c>
      <c r="C11" s="126">
        <v>1</v>
      </c>
      <c r="D11" s="127" t="s">
        <v>64</v>
      </c>
      <c r="E11" s="128" t="s">
        <v>36</v>
      </c>
      <c r="F11" s="121" t="s">
        <v>36</v>
      </c>
      <c r="G11" s="128">
        <v>500.10750000000002</v>
      </c>
      <c r="H11" s="121">
        <f t="shared" ref="H11:H12" si="4">+G11*C11</f>
        <v>500.10750000000002</v>
      </c>
      <c r="I11" s="128">
        <v>396.52</v>
      </c>
      <c r="J11" s="122">
        <f t="shared" si="2"/>
        <v>396.52</v>
      </c>
      <c r="K11" s="128">
        <f>(45-(45*0.05))*TC!C3</f>
        <v>1525.9527</v>
      </c>
      <c r="L11" s="122">
        <f t="shared" si="3"/>
        <v>1525.9527</v>
      </c>
      <c r="M11" s="123"/>
    </row>
    <row r="12" spans="2:13" s="124" customFormat="1" ht="16.5" thickBot="1" x14ac:dyDescent="0.3">
      <c r="B12" s="125">
        <v>7</v>
      </c>
      <c r="C12" s="126">
        <v>1</v>
      </c>
      <c r="D12" s="127" t="s">
        <v>65</v>
      </c>
      <c r="E12" s="128">
        <v>320</v>
      </c>
      <c r="F12" s="121">
        <f t="shared" ref="F12" si="5">+E12*C12</f>
        <v>320</v>
      </c>
      <c r="G12" s="128">
        <v>293.25299999999999</v>
      </c>
      <c r="H12" s="121">
        <f t="shared" si="4"/>
        <v>293.25299999999999</v>
      </c>
      <c r="I12" s="128">
        <v>286.95999999999998</v>
      </c>
      <c r="J12" s="122">
        <f t="shared" si="2"/>
        <v>286.95999999999998</v>
      </c>
      <c r="K12" s="128">
        <f>(12-(12*0.05))*TC!C3</f>
        <v>406.92072000000002</v>
      </c>
      <c r="L12" s="122">
        <f t="shared" si="3"/>
        <v>406.92072000000002</v>
      </c>
      <c r="M12" s="123"/>
    </row>
    <row r="13" spans="2:13" x14ac:dyDescent="0.25">
      <c r="B13" s="1094" t="s">
        <v>4</v>
      </c>
      <c r="C13" s="1095"/>
      <c r="D13" s="1185"/>
      <c r="E13" s="1186">
        <f>SUM(F6:F12)</f>
        <v>10244</v>
      </c>
      <c r="F13" s="1187"/>
      <c r="G13" s="1186">
        <f>SUM(H6:H12)</f>
        <v>9184.6376999999993</v>
      </c>
      <c r="H13" s="1187"/>
      <c r="I13" s="1186">
        <f>SUM(J6:J12)</f>
        <v>8835.77</v>
      </c>
      <c r="J13" s="1188"/>
      <c r="K13" s="1186">
        <f>SUM(L6:L12)</f>
        <v>6371.7002739999998</v>
      </c>
      <c r="L13" s="1188"/>
    </row>
    <row r="14" spans="2:13" x14ac:dyDescent="0.25">
      <c r="B14" s="1096" t="s">
        <v>5</v>
      </c>
      <c r="C14" s="1097"/>
      <c r="D14" s="1195"/>
      <c r="E14" s="1176">
        <v>0</v>
      </c>
      <c r="F14" s="1196"/>
      <c r="G14" s="1176">
        <v>0</v>
      </c>
      <c r="H14" s="1196"/>
      <c r="I14" s="1176">
        <v>0</v>
      </c>
      <c r="J14" s="1177"/>
      <c r="K14" s="1197">
        <v>0.05</v>
      </c>
      <c r="L14" s="1198"/>
    </row>
    <row r="15" spans="2:13" x14ac:dyDescent="0.25">
      <c r="B15" s="1199" t="s">
        <v>2</v>
      </c>
      <c r="C15" s="1200"/>
      <c r="D15" s="1201"/>
      <c r="E15" s="1176">
        <v>0</v>
      </c>
      <c r="F15" s="1196"/>
      <c r="G15" s="1176">
        <f>(G13-G14)*15%</f>
        <v>1377.6956549999998</v>
      </c>
      <c r="H15" s="1196"/>
      <c r="I15" s="1176">
        <f>(I13-I14)*15%</f>
        <v>1325.3655000000001</v>
      </c>
      <c r="J15" s="1177"/>
      <c r="K15" s="1176">
        <f>K13*15%</f>
        <v>955.75504109999997</v>
      </c>
      <c r="L15" s="1177"/>
    </row>
    <row r="16" spans="2:13" ht="16.5" thickBot="1" x14ac:dyDescent="0.3">
      <c r="B16" s="1189" t="s">
        <v>3</v>
      </c>
      <c r="C16" s="1190"/>
      <c r="D16" s="1191"/>
      <c r="E16" s="1192">
        <f>(E13-E14)+E15</f>
        <v>10244</v>
      </c>
      <c r="F16" s="1193"/>
      <c r="G16" s="1192">
        <f>(G13-G14)+G15</f>
        <v>10562.333354999999</v>
      </c>
      <c r="H16" s="1193"/>
      <c r="I16" s="1192">
        <f>(I13-I14)+I15</f>
        <v>10161.1355</v>
      </c>
      <c r="J16" s="1194"/>
      <c r="K16" s="1192">
        <f>K13+K15</f>
        <v>7327.4553151</v>
      </c>
      <c r="L16" s="1194"/>
    </row>
    <row r="17" spans="6:12" x14ac:dyDescent="0.25">
      <c r="L17" s="129"/>
    </row>
    <row r="18" spans="6:12" x14ac:dyDescent="0.25">
      <c r="F18" s="129"/>
      <c r="G18" s="129"/>
      <c r="H18" s="129"/>
      <c r="J18" s="129"/>
      <c r="L18" s="129"/>
    </row>
  </sheetData>
  <mergeCells count="26">
    <mergeCell ref="B16:D16"/>
    <mergeCell ref="E16:F16"/>
    <mergeCell ref="G16:H16"/>
    <mergeCell ref="K16:L16"/>
    <mergeCell ref="I4:J4"/>
    <mergeCell ref="I13:J13"/>
    <mergeCell ref="I14:J14"/>
    <mergeCell ref="I15:J15"/>
    <mergeCell ref="I16:J16"/>
    <mergeCell ref="B14:D14"/>
    <mergeCell ref="E14:F14"/>
    <mergeCell ref="G14:H14"/>
    <mergeCell ref="K14:L14"/>
    <mergeCell ref="B15:D15"/>
    <mergeCell ref="E15:F15"/>
    <mergeCell ref="G15:H15"/>
    <mergeCell ref="K15:L15"/>
    <mergeCell ref="B3:L3"/>
    <mergeCell ref="B4:B5"/>
    <mergeCell ref="E4:F4"/>
    <mergeCell ref="G4:H4"/>
    <mergeCell ref="K4:L4"/>
    <mergeCell ref="B13:D13"/>
    <mergeCell ref="E13:F13"/>
    <mergeCell ref="G13:H13"/>
    <mergeCell ref="K13:L13"/>
  </mergeCells>
  <conditionalFormatting sqref="F6:F12 H10:H12 L10:L12">
    <cfRule type="expression" dxfId="530" priority="15">
      <formula>E6=""</formula>
    </cfRule>
  </conditionalFormatting>
  <conditionalFormatting sqref="H6:H9">
    <cfRule type="expression" dxfId="529" priority="13">
      <formula>G6=""</formula>
    </cfRule>
    <cfRule type="expression" dxfId="528" priority="14">
      <formula>G6=MIN($E6,$G6,$K6)</formula>
    </cfRule>
  </conditionalFormatting>
  <conditionalFormatting sqref="L6:L9">
    <cfRule type="expression" dxfId="527" priority="11">
      <formula>K6=""</formula>
    </cfRule>
    <cfRule type="expression" dxfId="526" priority="12">
      <formula>K6=MIN($E6,$G6,$K6)</formula>
    </cfRule>
  </conditionalFormatting>
  <conditionalFormatting sqref="J6:J12">
    <cfRule type="expression" dxfId="525" priority="1">
      <formula>I6=""</formula>
    </cfRule>
    <cfRule type="expression" dxfId="524" priority="2">
      <formula>I6=MIN($E6,$G6,$K6)</formula>
    </cfRule>
  </conditionalFormatting>
  <conditionalFormatting sqref="F6:F12 H6:H12 J6:J12 L6:L12">
    <cfRule type="expression" dxfId="523" priority="16">
      <formula>E6=MIN($E6,$G6,$I6,$K6)</formula>
    </cfRule>
  </conditionalFormatting>
  <pageMargins left="0.25" right="0.25" top="0.75" bottom="0.75" header="0.3" footer="0.3"/>
  <pageSetup orientation="landscape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71E95F-718C-4057-B311-5D783AA640B7}">
  <sheetPr codeName="Hoja50"/>
  <dimension ref="B2:L18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8.7109375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4.140625" style="1" bestFit="1" customWidth="1"/>
    <col min="10" max="10" width="15.42578125" style="1" bestFit="1" customWidth="1"/>
    <col min="11" max="11" width="13.42578125" style="5" bestFit="1" customWidth="1"/>
    <col min="12" max="12" width="15.42578125" style="1" bestFit="1" customWidth="1"/>
    <col min="13" max="16384" width="11.42578125" style="1"/>
  </cols>
  <sheetData>
    <row r="2" spans="2:12" ht="18" thickBot="1" x14ac:dyDescent="0.35"/>
    <row r="3" spans="2:12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2" s="2" customFormat="1" ht="18" thickBot="1" x14ac:dyDescent="0.3">
      <c r="B4" s="1215" t="s">
        <v>6</v>
      </c>
      <c r="C4" s="29" t="s">
        <v>17</v>
      </c>
      <c r="D4" s="30" t="s">
        <v>348</v>
      </c>
      <c r="E4" s="1252" t="s">
        <v>84</v>
      </c>
      <c r="F4" s="1251"/>
      <c r="G4" s="1248" t="s">
        <v>85</v>
      </c>
      <c r="H4" s="1251"/>
      <c r="I4" s="1248" t="s">
        <v>86</v>
      </c>
      <c r="J4" s="1251"/>
      <c r="K4" s="6"/>
    </row>
    <row r="5" spans="2:12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551" t="s">
        <v>10</v>
      </c>
      <c r="G5" s="31" t="s">
        <v>14</v>
      </c>
      <c r="H5" s="551" t="s">
        <v>10</v>
      </c>
      <c r="I5" s="31" t="s">
        <v>14</v>
      </c>
      <c r="J5" s="32" t="s">
        <v>10</v>
      </c>
      <c r="K5" s="6"/>
    </row>
    <row r="6" spans="2:12" s="3" customFormat="1" ht="18" thickBot="1" x14ac:dyDescent="0.35">
      <c r="B6" s="19">
        <v>1</v>
      </c>
      <c r="C6" s="16">
        <v>20</v>
      </c>
      <c r="D6" s="9" t="s">
        <v>83</v>
      </c>
      <c r="E6" s="24">
        <f>(1320/C6)*TC!C3</f>
        <v>2355.8568</v>
      </c>
      <c r="F6" s="23">
        <f>+E6*C6</f>
        <v>47117.135999999999</v>
      </c>
      <c r="G6" s="24">
        <f>77*TC!C3</f>
        <v>2748.4996000000001</v>
      </c>
      <c r="H6" s="23">
        <f>G6*C6</f>
        <v>54969.991999999998</v>
      </c>
      <c r="I6" s="24">
        <f>40167.6/C6</f>
        <v>2008.3799999999999</v>
      </c>
      <c r="J6" s="27">
        <f>+I6*C6</f>
        <v>40167.599999999999</v>
      </c>
      <c r="K6" s="7"/>
    </row>
    <row r="7" spans="2:12" x14ac:dyDescent="0.3">
      <c r="B7" s="1217" t="s">
        <v>4</v>
      </c>
      <c r="C7" s="1218"/>
      <c r="D7" s="1219"/>
      <c r="E7" s="1245">
        <f>SUM(F6:F6)</f>
        <v>47117.135999999999</v>
      </c>
      <c r="F7" s="1246"/>
      <c r="G7" s="1245">
        <f>SUM(H6:H6)</f>
        <v>54969.991999999998</v>
      </c>
      <c r="H7" s="1246"/>
      <c r="I7" s="1245">
        <f>SUM(J6:J6)</f>
        <v>40167.599999999999</v>
      </c>
      <c r="J7" s="1247"/>
    </row>
    <row r="8" spans="2:12" x14ac:dyDescent="0.3">
      <c r="B8" s="1205" t="s">
        <v>87</v>
      </c>
      <c r="C8" s="1206"/>
      <c r="D8" s="1207"/>
      <c r="E8" s="1242">
        <v>0</v>
      </c>
      <c r="F8" s="1243"/>
      <c r="G8" s="1242">
        <v>0</v>
      </c>
      <c r="H8" s="1243"/>
      <c r="I8" s="1242">
        <f>+I7*0.05</f>
        <v>2008.38</v>
      </c>
      <c r="J8" s="1244"/>
    </row>
    <row r="9" spans="2:12" x14ac:dyDescent="0.3">
      <c r="B9" s="1208" t="s">
        <v>2</v>
      </c>
      <c r="C9" s="1209"/>
      <c r="D9" s="1210"/>
      <c r="E9" s="1242">
        <f>(E7-E8)*15%</f>
        <v>7067.5703999999996</v>
      </c>
      <c r="F9" s="1243"/>
      <c r="G9" s="1242">
        <f>(G7-G8)*15%</f>
        <v>8245.4987999999994</v>
      </c>
      <c r="H9" s="1243"/>
      <c r="I9" s="1242">
        <f>(I7+I8)*15%</f>
        <v>6326.396999999999</v>
      </c>
      <c r="J9" s="1244"/>
    </row>
    <row r="10" spans="2:12" ht="18" thickBot="1" x14ac:dyDescent="0.35">
      <c r="B10" s="1202" t="s">
        <v>3</v>
      </c>
      <c r="C10" s="1203"/>
      <c r="D10" s="1204"/>
      <c r="E10" s="1253">
        <f>(E7-E8)+E9</f>
        <v>54184.706399999995</v>
      </c>
      <c r="F10" s="1254"/>
      <c r="G10" s="1253">
        <f>(G7-G8)+G9</f>
        <v>63215.4908</v>
      </c>
      <c r="H10" s="1254"/>
      <c r="I10" s="1253">
        <f>(I7+I8)+I9</f>
        <v>48502.376999999993</v>
      </c>
      <c r="J10" s="1255"/>
    </row>
    <row r="12" spans="2:12" ht="18" hidden="1" thickBot="1" x14ac:dyDescent="0.35">
      <c r="B12" s="1215" t="s">
        <v>6</v>
      </c>
      <c r="C12" s="29" t="s">
        <v>17</v>
      </c>
      <c r="D12" s="30" t="s">
        <v>348</v>
      </c>
      <c r="E12" s="1252" t="s">
        <v>349</v>
      </c>
      <c r="F12" s="1251"/>
      <c r="G12" s="1248" t="s">
        <v>85</v>
      </c>
      <c r="H12" s="1251"/>
      <c r="I12" s="1248" t="s">
        <v>86</v>
      </c>
      <c r="J12" s="1251"/>
    </row>
    <row r="13" spans="2:12" ht="18" hidden="1" thickBot="1" x14ac:dyDescent="0.35">
      <c r="B13" s="1216"/>
      <c r="C13" s="33" t="s">
        <v>11</v>
      </c>
      <c r="D13" s="21" t="s">
        <v>0</v>
      </c>
      <c r="E13" s="31" t="s">
        <v>14</v>
      </c>
      <c r="F13" s="551" t="s">
        <v>10</v>
      </c>
      <c r="G13" s="31" t="s">
        <v>14</v>
      </c>
      <c r="H13" s="551" t="s">
        <v>10</v>
      </c>
      <c r="I13" s="31" t="s">
        <v>14</v>
      </c>
      <c r="J13" s="32" t="s">
        <v>10</v>
      </c>
      <c r="L13" s="564"/>
    </row>
    <row r="14" spans="2:12" ht="18" hidden="1" thickBot="1" x14ac:dyDescent="0.35">
      <c r="B14" s="19">
        <v>1</v>
      </c>
      <c r="C14" s="16">
        <v>12</v>
      </c>
      <c r="D14" s="9" t="s">
        <v>350</v>
      </c>
      <c r="E14" s="24">
        <v>512.40599999999995</v>
      </c>
      <c r="F14" s="23">
        <f>+E14*C14</f>
        <v>6148.8719999999994</v>
      </c>
      <c r="G14" s="24">
        <f>10*TC!C3</f>
        <v>356.94799999999998</v>
      </c>
      <c r="H14" s="23">
        <f>G14*C14</f>
        <v>4283.3760000000002</v>
      </c>
      <c r="I14" s="24">
        <v>520</v>
      </c>
      <c r="J14" s="27">
        <f>+I14*C14</f>
        <v>6240</v>
      </c>
    </row>
    <row r="15" spans="2:12" hidden="1" x14ac:dyDescent="0.3">
      <c r="B15" s="1217" t="s">
        <v>4</v>
      </c>
      <c r="C15" s="1218"/>
      <c r="D15" s="1219"/>
      <c r="E15" s="1245">
        <f>SUM(F14:F14)</f>
        <v>6148.8719999999994</v>
      </c>
      <c r="F15" s="1246"/>
      <c r="G15" s="1245">
        <f>SUM(H14:H14)</f>
        <v>4283.3760000000002</v>
      </c>
      <c r="H15" s="1246"/>
      <c r="I15" s="1245">
        <f>SUM(J14:J14)</f>
        <v>6240</v>
      </c>
      <c r="J15" s="1247"/>
    </row>
    <row r="16" spans="2:12" hidden="1" x14ac:dyDescent="0.3">
      <c r="B16" s="1205" t="s">
        <v>87</v>
      </c>
      <c r="C16" s="1206"/>
      <c r="D16" s="1207"/>
      <c r="E16" s="1242">
        <v>0</v>
      </c>
      <c r="F16" s="1243"/>
      <c r="G16" s="1242">
        <v>0</v>
      </c>
      <c r="H16" s="1243"/>
      <c r="I16" s="1242">
        <f>+I15*0.05</f>
        <v>312</v>
      </c>
      <c r="J16" s="1244"/>
    </row>
    <row r="17" spans="2:10" hidden="1" x14ac:dyDescent="0.3">
      <c r="B17" s="1208" t="s">
        <v>2</v>
      </c>
      <c r="C17" s="1209"/>
      <c r="D17" s="1210"/>
      <c r="E17" s="1242">
        <f>(E15-E16)*15%</f>
        <v>922.33079999999984</v>
      </c>
      <c r="F17" s="1243"/>
      <c r="G17" s="1242">
        <f>(G15-G16)*15%</f>
        <v>642.50639999999999</v>
      </c>
      <c r="H17" s="1243"/>
      <c r="I17" s="1242">
        <f>(I15+I16)*15%</f>
        <v>982.8</v>
      </c>
      <c r="J17" s="1244"/>
    </row>
    <row r="18" spans="2:10" ht="18" hidden="1" thickBot="1" x14ac:dyDescent="0.35">
      <c r="B18" s="1202" t="s">
        <v>3</v>
      </c>
      <c r="C18" s="1203"/>
      <c r="D18" s="1204"/>
      <c r="E18" s="1253">
        <f>(E15-E16)+E17</f>
        <v>7071.2027999999991</v>
      </c>
      <c r="F18" s="1254"/>
      <c r="G18" s="1253">
        <f>(G15-G16)+G17</f>
        <v>4925.8824000000004</v>
      </c>
      <c r="H18" s="1254"/>
      <c r="I18" s="1253">
        <f>(I15+I16)+I17</f>
        <v>7534.8</v>
      </c>
      <c r="J18" s="1255"/>
    </row>
  </sheetData>
  <mergeCells count="41">
    <mergeCell ref="B7:D7"/>
    <mergeCell ref="E7:F7"/>
    <mergeCell ref="G7:H7"/>
    <mergeCell ref="I7:J7"/>
    <mergeCell ref="B3:J3"/>
    <mergeCell ref="B4:B5"/>
    <mergeCell ref="E4:F4"/>
    <mergeCell ref="G4:H4"/>
    <mergeCell ref="I4:J4"/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  <mergeCell ref="B12:B13"/>
    <mergeCell ref="E12:F12"/>
    <mergeCell ref="G12:H12"/>
    <mergeCell ref="I12:J12"/>
    <mergeCell ref="B15:D15"/>
    <mergeCell ref="E15:F15"/>
    <mergeCell ref="G15:H15"/>
    <mergeCell ref="I15:J15"/>
    <mergeCell ref="B18:D18"/>
    <mergeCell ref="E18:F18"/>
    <mergeCell ref="G18:H18"/>
    <mergeCell ref="I18:J18"/>
    <mergeCell ref="B16:D16"/>
    <mergeCell ref="E16:F16"/>
    <mergeCell ref="G16:H16"/>
    <mergeCell ref="I16:J16"/>
    <mergeCell ref="B17:D17"/>
    <mergeCell ref="E17:F17"/>
    <mergeCell ref="G17:H17"/>
    <mergeCell ref="I17:J17"/>
  </mergeCells>
  <conditionalFormatting sqref="F6 H6 J6">
    <cfRule type="expression" dxfId="338" priority="3">
      <formula>E6=""</formula>
    </cfRule>
    <cfRule type="expression" dxfId="337" priority="4">
      <formula>E6=MIN($E6,$G6,$I6)</formula>
    </cfRule>
  </conditionalFormatting>
  <conditionalFormatting sqref="F14 H14 J14">
    <cfRule type="expression" dxfId="336" priority="1">
      <formula>E14=""</formula>
    </cfRule>
    <cfRule type="expression" dxfId="335" priority="2">
      <formula>E14=MIN($E14,$G14,$I14)</formula>
    </cfRule>
  </conditionalFormatting>
  <pageMargins left="0.25" right="0.25" top="0.75" bottom="0.75" header="0.3" footer="0.3"/>
  <pageSetup orientation="landscape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54A78-0F11-45CD-970F-AC18B6D3EBF4}">
  <sheetPr codeName="Hoja51"/>
  <dimension ref="B2:K15"/>
  <sheetViews>
    <sheetView showGridLines="0" workbookViewId="0">
      <selection activeCell="E4" sqref="E4: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.5703125" style="1" bestFit="1" customWidth="1"/>
    <col min="5" max="5" width="14.140625" style="1" bestFit="1" customWidth="1"/>
    <col min="6" max="6" width="15.42578125" style="1" bestFit="1" customWidth="1"/>
    <col min="7" max="7" width="12.28515625" style="1" bestFit="1" customWidth="1"/>
    <col min="8" max="8" width="15.42578125" style="1" bestFit="1" customWidth="1"/>
    <col min="9" max="9" width="12.28515625" style="1" bestFit="1" customWidth="1"/>
    <col min="10" max="10" width="15.425781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351</v>
      </c>
      <c r="E4" s="1252" t="s">
        <v>53</v>
      </c>
      <c r="F4" s="1251"/>
      <c r="G4" s="1248" t="s">
        <v>49</v>
      </c>
      <c r="H4" s="1251"/>
      <c r="I4" s="1248" t="s">
        <v>72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551" t="s">
        <v>10</v>
      </c>
      <c r="G5" s="31" t="s">
        <v>14</v>
      </c>
      <c r="H5" s="551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130</v>
      </c>
      <c r="D6" s="9" t="s">
        <v>45</v>
      </c>
      <c r="E6" s="24">
        <f>(426.02/C6)*35.92</f>
        <v>117.71260307692307</v>
      </c>
      <c r="F6" s="23">
        <f>+E6*$C6</f>
        <v>15302.6384</v>
      </c>
      <c r="G6" s="24">
        <f>19948.24/C6</f>
        <v>153.44800000000001</v>
      </c>
      <c r="H6" s="23">
        <f>+G6*$C6</f>
        <v>19948.240000000002</v>
      </c>
      <c r="I6" s="24">
        <v>155</v>
      </c>
      <c r="J6" s="27">
        <f>+I6*$C6</f>
        <v>20150</v>
      </c>
      <c r="K6" s="7"/>
    </row>
    <row r="7" spans="2:11" s="3" customFormat="1" x14ac:dyDescent="0.3">
      <c r="B7" s="20">
        <v>2</v>
      </c>
      <c r="C7" s="17">
        <v>13</v>
      </c>
      <c r="D7" s="8" t="s">
        <v>352</v>
      </c>
      <c r="E7" s="25">
        <f>(330.59/C7)*35.92</f>
        <v>913.44560000000001</v>
      </c>
      <c r="F7" s="23">
        <f t="shared" ref="F7:F9" si="0">+E7*$C7</f>
        <v>11874.792799999999</v>
      </c>
      <c r="G7" s="25">
        <f>2863.02/C7</f>
        <v>220.2323076923077</v>
      </c>
      <c r="H7" s="23">
        <f t="shared" ref="H7:H8" si="1">+G7*$C7</f>
        <v>2863.02</v>
      </c>
      <c r="I7" s="25">
        <v>490</v>
      </c>
      <c r="J7" s="27">
        <f t="shared" ref="J7:J8" si="2">+I7*$C7</f>
        <v>6370</v>
      </c>
      <c r="K7" s="7"/>
    </row>
    <row r="8" spans="2:11" s="3" customFormat="1" x14ac:dyDescent="0.3">
      <c r="B8" s="20">
        <v>3</v>
      </c>
      <c r="C8" s="17">
        <v>13</v>
      </c>
      <c r="D8" s="8" t="s">
        <v>353</v>
      </c>
      <c r="E8" s="25">
        <f>(590.2/C8)*35.92</f>
        <v>1630.7680000000003</v>
      </c>
      <c r="F8" s="23">
        <f t="shared" si="0"/>
        <v>21199.984000000004</v>
      </c>
      <c r="G8" s="25">
        <f>11107.2/C8</f>
        <v>854.40000000000009</v>
      </c>
      <c r="H8" s="23">
        <f t="shared" si="1"/>
        <v>11107.2</v>
      </c>
      <c r="I8" s="25">
        <v>900</v>
      </c>
      <c r="J8" s="27">
        <f t="shared" si="2"/>
        <v>11700</v>
      </c>
      <c r="K8" s="7"/>
    </row>
    <row r="9" spans="2:11" s="3" customFormat="1" ht="18" thickBot="1" x14ac:dyDescent="0.35">
      <c r="B9" s="20">
        <v>4</v>
      </c>
      <c r="C9" s="17">
        <v>6</v>
      </c>
      <c r="D9" s="8" t="s">
        <v>354</v>
      </c>
      <c r="E9" s="25">
        <f>(151.2/C9)*35.92</f>
        <v>905.18399999999997</v>
      </c>
      <c r="F9" s="23">
        <f t="shared" si="0"/>
        <v>5431.1039999999994</v>
      </c>
      <c r="G9" s="25" t="s">
        <v>36</v>
      </c>
      <c r="H9" s="23" t="s">
        <v>36</v>
      </c>
      <c r="I9" s="25" t="s">
        <v>36</v>
      </c>
      <c r="J9" s="27" t="s">
        <v>36</v>
      </c>
      <c r="K9" s="7"/>
    </row>
    <row r="10" spans="2:11" x14ac:dyDescent="0.3">
      <c r="B10" s="1217" t="s">
        <v>4</v>
      </c>
      <c r="C10" s="1218"/>
      <c r="D10" s="1219"/>
      <c r="E10" s="1245">
        <f>SUM(F6:F9)</f>
        <v>53808.519200000002</v>
      </c>
      <c r="F10" s="1246"/>
      <c r="G10" s="1245">
        <f>SUM(H6:H9)</f>
        <v>33918.460000000006</v>
      </c>
      <c r="H10" s="1246"/>
      <c r="I10" s="1245">
        <f>SUM(J6:J9)</f>
        <v>38220</v>
      </c>
      <c r="J10" s="1247"/>
    </row>
    <row r="11" spans="2:11" x14ac:dyDescent="0.3">
      <c r="B11" s="1205" t="s">
        <v>5</v>
      </c>
      <c r="C11" s="1206"/>
      <c r="D11" s="1207"/>
      <c r="E11" s="1283">
        <v>0.2</v>
      </c>
      <c r="F11" s="1284"/>
      <c r="G11" s="1242">
        <v>0</v>
      </c>
      <c r="H11" s="1243"/>
      <c r="I11" s="1242">
        <v>0</v>
      </c>
      <c r="J11" s="1244"/>
    </row>
    <row r="12" spans="2:11" x14ac:dyDescent="0.3">
      <c r="B12" s="1208" t="s">
        <v>2</v>
      </c>
      <c r="C12" s="1209"/>
      <c r="D12" s="1210"/>
      <c r="E12" s="1242">
        <f>(E10)*15%</f>
        <v>8071.2778799999996</v>
      </c>
      <c r="F12" s="1243"/>
      <c r="G12" s="1242">
        <f>(G10-G11)*15%</f>
        <v>5087.7690000000011</v>
      </c>
      <c r="H12" s="1243"/>
      <c r="I12" s="1242">
        <v>0</v>
      </c>
      <c r="J12" s="1244"/>
    </row>
    <row r="13" spans="2:11" ht="18" thickBot="1" x14ac:dyDescent="0.35">
      <c r="B13" s="1202" t="s">
        <v>3</v>
      </c>
      <c r="C13" s="1203"/>
      <c r="D13" s="1204"/>
      <c r="E13" s="1253">
        <f>(E10)+E12</f>
        <v>61879.797080000004</v>
      </c>
      <c r="F13" s="1254"/>
      <c r="G13" s="1253">
        <f>(G10-G11)+G12</f>
        <v>39006.229000000007</v>
      </c>
      <c r="H13" s="1254"/>
      <c r="I13" s="1253">
        <f>(I10-I11)+I12</f>
        <v>38220</v>
      </c>
      <c r="J13" s="1255"/>
    </row>
    <row r="15" spans="2:11" x14ac:dyDescent="0.3">
      <c r="F15" s="4"/>
      <c r="G15" s="4"/>
      <c r="H15" s="4"/>
      <c r="J15" s="4"/>
    </row>
  </sheetData>
  <mergeCells count="21">
    <mergeCell ref="B10:D10"/>
    <mergeCell ref="E10:F10"/>
    <mergeCell ref="G10:H10"/>
    <mergeCell ref="I10:J10"/>
    <mergeCell ref="B3:J3"/>
    <mergeCell ref="B4:B5"/>
    <mergeCell ref="E4:F4"/>
    <mergeCell ref="G4:H4"/>
    <mergeCell ref="I4:J4"/>
    <mergeCell ref="B13:D13"/>
    <mergeCell ref="E13:F13"/>
    <mergeCell ref="G13:H13"/>
    <mergeCell ref="I13:J13"/>
    <mergeCell ref="B11:D11"/>
    <mergeCell ref="E11:F11"/>
    <mergeCell ref="G11:H11"/>
    <mergeCell ref="I11:J11"/>
    <mergeCell ref="B12:D12"/>
    <mergeCell ref="E12:F12"/>
    <mergeCell ref="G12:H12"/>
    <mergeCell ref="I12:J12"/>
  </mergeCells>
  <conditionalFormatting sqref="F6:F9 H6:H9 J6:J9">
    <cfRule type="expression" dxfId="334" priority="5">
      <formula>E6=""</formula>
    </cfRule>
    <cfRule type="expression" dxfId="333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EB2CC-AAA9-4020-8714-5CA75477AFC2}">
  <sheetPr codeName="Hoja52"/>
  <dimension ref="A2:G36"/>
  <sheetViews>
    <sheetView showGridLines="0" workbookViewId="0">
      <selection activeCell="C6" sqref="C6"/>
    </sheetView>
  </sheetViews>
  <sheetFormatPr baseColWidth="10" defaultColWidth="6.85546875" defaultRowHeight="17.25" x14ac:dyDescent="0.3"/>
  <cols>
    <col min="1" max="1" width="3.42578125" style="1" bestFit="1" customWidth="1"/>
    <col min="2" max="2" width="6.7109375" style="1" bestFit="1" customWidth="1"/>
    <col min="3" max="3" width="19" style="1" bestFit="1" customWidth="1"/>
    <col min="4" max="4" width="17.28515625" style="1" bestFit="1" customWidth="1"/>
    <col min="5" max="5" width="15" style="1" bestFit="1" customWidth="1"/>
    <col min="6" max="6" width="14.140625" style="1" bestFit="1" customWidth="1"/>
    <col min="7" max="7" width="6.85546875" style="5"/>
    <col min="8" max="16384" width="6.85546875" style="1"/>
  </cols>
  <sheetData>
    <row r="2" spans="1:7" ht="18" thickBot="1" x14ac:dyDescent="0.35"/>
    <row r="3" spans="1:7" s="2" customFormat="1" ht="18" thickBot="1" x14ac:dyDescent="0.35">
      <c r="A3" s="1211" t="s">
        <v>1</v>
      </c>
      <c r="B3" s="1213"/>
      <c r="C3" s="1213"/>
      <c r="D3" s="1213"/>
      <c r="E3" s="1213"/>
      <c r="F3" s="1214"/>
      <c r="G3" s="6"/>
    </row>
    <row r="4" spans="1:7" s="2" customFormat="1" ht="18" thickBot="1" x14ac:dyDescent="0.3">
      <c r="A4" s="1215" t="s">
        <v>6</v>
      </c>
      <c r="B4" s="29" t="s">
        <v>17</v>
      </c>
      <c r="C4" s="173" t="s">
        <v>89</v>
      </c>
      <c r="D4" s="553" t="s">
        <v>91</v>
      </c>
      <c r="E4" s="553" t="s">
        <v>234</v>
      </c>
      <c r="F4" s="553" t="s">
        <v>92</v>
      </c>
      <c r="G4" s="6"/>
    </row>
    <row r="5" spans="1:7" s="2" customFormat="1" ht="18" thickBot="1" x14ac:dyDescent="0.3">
      <c r="A5" s="1216"/>
      <c r="B5" s="33" t="s">
        <v>11</v>
      </c>
      <c r="C5" s="174" t="s">
        <v>0</v>
      </c>
      <c r="D5" s="552" t="s">
        <v>10</v>
      </c>
      <c r="E5" s="554" t="s">
        <v>10</v>
      </c>
      <c r="F5" s="32" t="s">
        <v>10</v>
      </c>
      <c r="G5" s="6"/>
    </row>
    <row r="6" spans="1:7" s="3" customFormat="1" x14ac:dyDescent="0.3">
      <c r="A6" s="19">
        <v>1</v>
      </c>
      <c r="B6" s="16">
        <v>1</v>
      </c>
      <c r="C6" s="559" t="s">
        <v>355</v>
      </c>
      <c r="D6" s="560">
        <v>9500</v>
      </c>
      <c r="E6" s="23">
        <v>9500</v>
      </c>
      <c r="F6" s="27">
        <v>7141.32</v>
      </c>
      <c r="G6" s="7"/>
    </row>
    <row r="7" spans="1:7" x14ac:dyDescent="0.3">
      <c r="A7" s="1208" t="s">
        <v>2</v>
      </c>
      <c r="B7" s="1209"/>
      <c r="C7" s="1210"/>
      <c r="D7" s="267">
        <v>0</v>
      </c>
      <c r="E7" s="555">
        <v>0</v>
      </c>
      <c r="F7" s="556">
        <f>+F6*0.15</f>
        <v>1071.1979999999999</v>
      </c>
    </row>
    <row r="8" spans="1:7" ht="18" thickBot="1" x14ac:dyDescent="0.35">
      <c r="A8" s="1202" t="s">
        <v>3</v>
      </c>
      <c r="B8" s="1203"/>
      <c r="C8" s="1204"/>
      <c r="D8" s="561">
        <f>+D6</f>
        <v>9500</v>
      </c>
      <c r="E8" s="557">
        <f>+E6</f>
        <v>9500</v>
      </c>
      <c r="F8" s="558">
        <f>+F6+F7</f>
        <v>8212.518</v>
      </c>
    </row>
    <row r="9" spans="1:7" ht="34.5" x14ac:dyDescent="0.3">
      <c r="E9" s="562" t="s">
        <v>356</v>
      </c>
      <c r="F9" s="562" t="s">
        <v>356</v>
      </c>
    </row>
    <row r="36" spans="4:6" x14ac:dyDescent="0.3">
      <c r="D36" s="4"/>
      <c r="E36" s="4"/>
      <c r="F36" s="4"/>
    </row>
  </sheetData>
  <mergeCells count="4">
    <mergeCell ref="A8:C8"/>
    <mergeCell ref="A7:C7"/>
    <mergeCell ref="A3:F3"/>
    <mergeCell ref="A4:A5"/>
  </mergeCells>
  <conditionalFormatting sqref="D6:F6">
    <cfRule type="expression" dxfId="332" priority="158">
      <formula>#REF!=""</formula>
    </cfRule>
    <cfRule type="expression" dxfId="331" priority="159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24BBD7-90B3-4382-8C08-B48C12B43624}">
  <sheetPr codeName="Hoja53"/>
  <dimension ref="A2:N13"/>
  <sheetViews>
    <sheetView showGridLines="0" workbookViewId="0">
      <selection activeCell="D3" sqref="D3:E3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7.140625" style="34" bestFit="1" customWidth="1"/>
    <col min="4" max="4" width="12.85546875" style="34" bestFit="1" customWidth="1"/>
    <col min="5" max="5" width="14" style="34" bestFit="1" customWidth="1"/>
    <col min="6" max="6" width="12.85546875" style="34" bestFit="1" customWidth="1"/>
    <col min="7" max="7" width="14" style="34" bestFit="1" customWidth="1"/>
    <col min="8" max="8" width="12.85546875" style="34" bestFit="1" customWidth="1"/>
    <col min="9" max="9" width="14" style="34" bestFit="1" customWidth="1"/>
    <col min="10" max="10" width="9.5703125" style="34" bestFit="1" customWidth="1"/>
    <col min="11" max="11" width="11" style="34" bestFit="1" customWidth="1"/>
    <col min="12" max="12" width="9.5703125" style="34" bestFit="1" customWidth="1"/>
    <col min="13" max="13" width="11" style="34" bestFit="1" customWidth="1"/>
    <col min="14" max="14" width="13.42578125" style="35" bestFit="1" customWidth="1"/>
    <col min="15" max="15" width="13.42578125" style="34" bestFit="1" customWidth="1"/>
    <col min="16" max="16384" width="11.42578125" style="34"/>
  </cols>
  <sheetData>
    <row r="2" spans="1:13" ht="16.5" thickBot="1" x14ac:dyDescent="0.3"/>
    <row r="3" spans="1:13" ht="16.5" thickBot="1" x14ac:dyDescent="0.3">
      <c r="A3" s="1182" t="s">
        <v>6</v>
      </c>
      <c r="B3" s="110" t="s">
        <v>17</v>
      </c>
      <c r="C3" s="111" t="s">
        <v>361</v>
      </c>
      <c r="D3" s="1184" t="s">
        <v>53</v>
      </c>
      <c r="E3" s="1102"/>
      <c r="F3" s="1100" t="s">
        <v>55</v>
      </c>
      <c r="G3" s="1102"/>
      <c r="H3" s="1100" t="s">
        <v>56</v>
      </c>
      <c r="I3" s="1102"/>
      <c r="K3" s="40"/>
      <c r="M3" s="40"/>
    </row>
    <row r="4" spans="1:13" ht="16.5" thickBot="1" x14ac:dyDescent="0.3">
      <c r="A4" s="1183"/>
      <c r="B4" s="112" t="s">
        <v>11</v>
      </c>
      <c r="C4" s="113" t="s">
        <v>0</v>
      </c>
      <c r="D4" s="114" t="s">
        <v>14</v>
      </c>
      <c r="E4" s="563" t="s">
        <v>10</v>
      </c>
      <c r="F4" s="114" t="s">
        <v>14</v>
      </c>
      <c r="G4" s="563" t="s">
        <v>10</v>
      </c>
      <c r="H4" s="114" t="s">
        <v>14</v>
      </c>
      <c r="I4" s="116" t="s">
        <v>10</v>
      </c>
    </row>
    <row r="5" spans="1:13" ht="37.5" customHeight="1" thickBot="1" x14ac:dyDescent="0.3">
      <c r="A5" s="117">
        <v>1</v>
      </c>
      <c r="B5" s="340">
        <v>12</v>
      </c>
      <c r="C5" s="508" t="s">
        <v>357</v>
      </c>
      <c r="D5" s="568">
        <f>(1335.48/12)*35.92</f>
        <v>3997.5368000000003</v>
      </c>
      <c r="E5" s="569">
        <f>+D5*B5</f>
        <v>47970.441600000006</v>
      </c>
      <c r="F5" s="570">
        <f>(8.28+8.68+106.83)*TC!C3</f>
        <v>4418.6592919999994</v>
      </c>
      <c r="G5" s="569">
        <f>+F5*B5</f>
        <v>53023.911503999989</v>
      </c>
      <c r="H5" s="570">
        <v>4018.48</v>
      </c>
      <c r="I5" s="343">
        <f>+H5*B5</f>
        <v>48221.760000000002</v>
      </c>
    </row>
    <row r="6" spans="1:13" x14ac:dyDescent="0.25">
      <c r="A6" s="1094" t="s">
        <v>4</v>
      </c>
      <c r="B6" s="1095"/>
      <c r="C6" s="1185"/>
      <c r="D6" s="1186">
        <f>SUM(E5:E5)</f>
        <v>47970.441600000006</v>
      </c>
      <c r="E6" s="1187"/>
      <c r="F6" s="1186">
        <f>SUM(G5:G5)</f>
        <v>53023.911503999989</v>
      </c>
      <c r="G6" s="1187"/>
      <c r="H6" s="1186">
        <f>SUM(I5:I5)</f>
        <v>48221.760000000002</v>
      </c>
      <c r="I6" s="1188"/>
    </row>
    <row r="7" spans="1:13" x14ac:dyDescent="0.25">
      <c r="A7" s="1096" t="s">
        <v>5</v>
      </c>
      <c r="B7" s="1097"/>
      <c r="C7" s="1195"/>
      <c r="D7" s="1197">
        <v>0.35</v>
      </c>
      <c r="E7" s="1459"/>
      <c r="F7" s="1197">
        <v>0.32</v>
      </c>
      <c r="G7" s="1459"/>
      <c r="H7" s="1176">
        <v>0</v>
      </c>
      <c r="I7" s="1177"/>
    </row>
    <row r="8" spans="1:13" x14ac:dyDescent="0.25">
      <c r="A8" s="1096" t="s">
        <v>2</v>
      </c>
      <c r="B8" s="1097"/>
      <c r="C8" s="1195"/>
      <c r="D8" s="1176">
        <f>(D6)*15%</f>
        <v>7195.566240000001</v>
      </c>
      <c r="E8" s="1196"/>
      <c r="F8" s="1176">
        <f>(F6)*15%</f>
        <v>7953.5867255999983</v>
      </c>
      <c r="G8" s="1196"/>
      <c r="H8" s="1176">
        <f>(H6-H7)*15%</f>
        <v>7233.2640000000001</v>
      </c>
      <c r="I8" s="1177"/>
    </row>
    <row r="9" spans="1:13" ht="16.5" thickBot="1" x14ac:dyDescent="0.3">
      <c r="A9" s="1098" t="s">
        <v>3</v>
      </c>
      <c r="B9" s="1099"/>
      <c r="C9" s="1454"/>
      <c r="D9" s="1455">
        <f>(D6)+D8</f>
        <v>55166.007840000006</v>
      </c>
      <c r="E9" s="1456"/>
      <c r="F9" s="1457">
        <f>(F6)+F8</f>
        <v>60977.498229599987</v>
      </c>
      <c r="G9" s="1458"/>
      <c r="H9" s="1457">
        <f>(H6-H7)+H8</f>
        <v>55455.024000000005</v>
      </c>
      <c r="I9" s="1346"/>
    </row>
    <row r="11" spans="1:13" x14ac:dyDescent="0.25">
      <c r="D11" s="40"/>
      <c r="F11" s="40"/>
    </row>
    <row r="13" spans="1:13" x14ac:dyDescent="0.25">
      <c r="G13" s="40"/>
    </row>
  </sheetData>
  <mergeCells count="20">
    <mergeCell ref="A3:A4"/>
    <mergeCell ref="D3:E3"/>
    <mergeCell ref="F3:G3"/>
    <mergeCell ref="H3:I3"/>
    <mergeCell ref="A6:C6"/>
    <mergeCell ref="D6:E6"/>
    <mergeCell ref="F6:G6"/>
    <mergeCell ref="H6:I6"/>
    <mergeCell ref="A9:C9"/>
    <mergeCell ref="D9:E9"/>
    <mergeCell ref="F9:G9"/>
    <mergeCell ref="H9:I9"/>
    <mergeCell ref="A7:C7"/>
    <mergeCell ref="D7:E7"/>
    <mergeCell ref="F7:G7"/>
    <mergeCell ref="H7:I7"/>
    <mergeCell ref="A8:C8"/>
    <mergeCell ref="D8:E8"/>
    <mergeCell ref="F8:G8"/>
    <mergeCell ref="H8:I8"/>
  </mergeCells>
  <conditionalFormatting sqref="G5 I5">
    <cfRule type="expression" dxfId="330" priority="3">
      <formula>F5=""</formula>
    </cfRule>
    <cfRule type="expression" dxfId="329" priority="4">
      <formula>F5=MIN($D5,$F5,$L5)</formula>
    </cfRule>
  </conditionalFormatting>
  <pageMargins left="0.25" right="0.25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4D6D5-E938-46CD-B2A5-3846BB56D0DB}">
  <sheetPr codeName="Hoja54"/>
  <dimension ref="B2:H14"/>
  <sheetViews>
    <sheetView showGridLines="0" workbookViewId="0">
      <selection activeCell="F4" sqref="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6" width="14.140625" style="1" bestFit="1" customWidth="1"/>
    <col min="7" max="7" width="12.28515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2:8" ht="18" thickBot="1" x14ac:dyDescent="0.35"/>
    <row r="3" spans="2:8" s="2" customFormat="1" ht="18" thickBot="1" x14ac:dyDescent="0.35">
      <c r="B3" s="1211" t="s">
        <v>1</v>
      </c>
      <c r="C3" s="1212"/>
      <c r="D3" s="1212"/>
      <c r="E3" s="1213"/>
      <c r="F3" s="1213"/>
      <c r="G3" s="1214"/>
      <c r="H3" s="6"/>
    </row>
    <row r="4" spans="2:8" s="2" customFormat="1" ht="18" thickBot="1" x14ac:dyDescent="0.3">
      <c r="B4" s="1215" t="s">
        <v>6</v>
      </c>
      <c r="C4" s="29" t="s">
        <v>17</v>
      </c>
      <c r="D4" s="173" t="s">
        <v>358</v>
      </c>
      <c r="E4" s="566" t="s">
        <v>49</v>
      </c>
      <c r="F4" s="566" t="s">
        <v>53</v>
      </c>
      <c r="G4" s="566" t="s">
        <v>360</v>
      </c>
      <c r="H4" s="6"/>
    </row>
    <row r="5" spans="2:8" s="2" customFormat="1" ht="18" thickBot="1" x14ac:dyDescent="0.3">
      <c r="B5" s="1216"/>
      <c r="C5" s="33" t="s">
        <v>11</v>
      </c>
      <c r="D5" s="174" t="s">
        <v>0</v>
      </c>
      <c r="E5" s="565" t="s">
        <v>10</v>
      </c>
      <c r="F5" s="567" t="s">
        <v>10</v>
      </c>
      <c r="G5" s="32" t="s">
        <v>10</v>
      </c>
      <c r="H5" s="6"/>
    </row>
    <row r="6" spans="2:8" s="3" customFormat="1" x14ac:dyDescent="0.3">
      <c r="B6" s="19">
        <v>1</v>
      </c>
      <c r="C6" s="16">
        <v>1</v>
      </c>
      <c r="D6" s="559" t="s">
        <v>359</v>
      </c>
      <c r="E6" s="575">
        <v>663.82</v>
      </c>
      <c r="F6" s="23">
        <f>20.12*35.92</f>
        <v>722.71040000000005</v>
      </c>
      <c r="G6" s="27">
        <v>0</v>
      </c>
      <c r="H6" s="7"/>
    </row>
    <row r="7" spans="2:8" s="3" customFormat="1" x14ac:dyDescent="0.3">
      <c r="B7" s="20">
        <v>2</v>
      </c>
      <c r="C7" s="17">
        <v>1</v>
      </c>
      <c r="D7" s="574" t="s">
        <v>46</v>
      </c>
      <c r="E7" s="575">
        <v>161.41</v>
      </c>
      <c r="F7" s="23">
        <f>12.67*35.92</f>
        <v>455.10640000000001</v>
      </c>
      <c r="G7" s="27">
        <v>223.47</v>
      </c>
      <c r="H7" s="7"/>
    </row>
    <row r="8" spans="2:8" s="3" customFormat="1" ht="18" thickBot="1" x14ac:dyDescent="0.35">
      <c r="B8" s="20">
        <v>3</v>
      </c>
      <c r="C8" s="17">
        <v>1</v>
      </c>
      <c r="D8" s="574" t="s">
        <v>47</v>
      </c>
      <c r="E8" s="575">
        <v>204.96</v>
      </c>
      <c r="F8" s="23">
        <f>33.14*35.92</f>
        <v>1190.3888000000002</v>
      </c>
      <c r="G8" s="27">
        <v>318.8</v>
      </c>
      <c r="H8" s="7"/>
    </row>
    <row r="9" spans="2:8" x14ac:dyDescent="0.3">
      <c r="B9" s="1217" t="s">
        <v>4</v>
      </c>
      <c r="C9" s="1218"/>
      <c r="D9" s="1219"/>
      <c r="E9" s="268">
        <f>SUM(E6:E8)</f>
        <v>1030.19</v>
      </c>
      <c r="F9" s="268">
        <f>SUM(F6:F8)</f>
        <v>2368.2056000000002</v>
      </c>
      <c r="G9" s="136">
        <f>SUM(G6:G8)</f>
        <v>542.27</v>
      </c>
    </row>
    <row r="10" spans="2:8" x14ac:dyDescent="0.3">
      <c r="B10" s="1205" t="s">
        <v>5</v>
      </c>
      <c r="C10" s="1206"/>
      <c r="D10" s="1207"/>
      <c r="E10" s="267">
        <v>0</v>
      </c>
      <c r="F10" s="267">
        <v>0</v>
      </c>
      <c r="G10" s="137">
        <v>0</v>
      </c>
    </row>
    <row r="11" spans="2:8" x14ac:dyDescent="0.3">
      <c r="B11" s="1208" t="s">
        <v>2</v>
      </c>
      <c r="C11" s="1209"/>
      <c r="D11" s="1210"/>
      <c r="E11" s="267">
        <f>+E9*0.15</f>
        <v>154.52850000000001</v>
      </c>
      <c r="F11" s="267">
        <f>+F9*0.15</f>
        <v>355.23084</v>
      </c>
      <c r="G11" s="137">
        <f>+G9*0.15</f>
        <v>81.340499999999992</v>
      </c>
    </row>
    <row r="12" spans="2:8" ht="18" thickBot="1" x14ac:dyDescent="0.35">
      <c r="B12" s="1202" t="s">
        <v>3</v>
      </c>
      <c r="C12" s="1203"/>
      <c r="D12" s="1204"/>
      <c r="E12" s="561">
        <f>+E9+E11</f>
        <v>1184.7184999999999</v>
      </c>
      <c r="F12" s="561">
        <f>+F9+F11</f>
        <v>2723.4364400000004</v>
      </c>
      <c r="G12" s="138">
        <f>+G9+G11</f>
        <v>623.6105</v>
      </c>
    </row>
    <row r="14" spans="2:8" x14ac:dyDescent="0.3">
      <c r="E14" s="4"/>
      <c r="F14" s="4"/>
      <c r="G14" s="4"/>
    </row>
  </sheetData>
  <mergeCells count="6">
    <mergeCell ref="B12:D12"/>
    <mergeCell ref="B10:D10"/>
    <mergeCell ref="B11:D11"/>
    <mergeCell ref="B3:G3"/>
    <mergeCell ref="B4:B5"/>
    <mergeCell ref="B9:D9"/>
  </mergeCells>
  <conditionalFormatting sqref="E6:G8">
    <cfRule type="expression" dxfId="328" priority="168">
      <formula>#REF!=""</formula>
    </cfRule>
    <cfRule type="expression" dxfId="327" priority="169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027D2-8545-45B1-9982-374B3E28AD91}">
  <sheetPr codeName="Hoja55"/>
  <dimension ref="A1:J15"/>
  <sheetViews>
    <sheetView showGridLines="0" workbookViewId="0">
      <selection activeCell="D3" sqref="D3:E3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20.140625" style="108" bestFit="1" customWidth="1"/>
    <col min="4" max="5" width="12.85546875" style="108" bestFit="1" customWidth="1"/>
    <col min="6" max="6" width="11" style="108" bestFit="1" customWidth="1"/>
    <col min="7" max="7" width="14" style="108" bestFit="1" customWidth="1"/>
    <col min="8" max="9" width="10" style="108" bestFit="1" customWidth="1"/>
    <col min="10" max="10" width="13.42578125" style="109" bestFit="1" customWidth="1"/>
    <col min="11" max="11" width="13.42578125" style="108" bestFit="1" customWidth="1"/>
    <col min="12" max="16384" width="11.42578125" style="108"/>
  </cols>
  <sheetData>
    <row r="1" spans="1:10" ht="16.5" thickBot="1" x14ac:dyDescent="0.3"/>
    <row r="2" spans="1:10" s="34" customFormat="1" ht="16.5" thickBot="1" x14ac:dyDescent="0.3">
      <c r="A2" s="1178" t="s">
        <v>1</v>
      </c>
      <c r="B2" s="1179"/>
      <c r="C2" s="1179"/>
      <c r="D2" s="1180"/>
      <c r="E2" s="1180"/>
      <c r="F2" s="1180"/>
      <c r="G2" s="1180"/>
      <c r="H2" s="1180"/>
      <c r="I2" s="1181"/>
      <c r="J2" s="35"/>
    </row>
    <row r="3" spans="1:10" s="34" customFormat="1" ht="16.5" thickBot="1" x14ac:dyDescent="0.3">
      <c r="A3" s="1182" t="s">
        <v>6</v>
      </c>
      <c r="B3" s="110" t="s">
        <v>17</v>
      </c>
      <c r="C3" s="111" t="s">
        <v>362</v>
      </c>
      <c r="D3" s="1184" t="s">
        <v>53</v>
      </c>
      <c r="E3" s="1102"/>
      <c r="F3" s="571" t="s">
        <v>49</v>
      </c>
      <c r="G3" s="572" t="s">
        <v>51</v>
      </c>
      <c r="H3" s="571" t="s">
        <v>360</v>
      </c>
      <c r="I3" s="572" t="s">
        <v>329</v>
      </c>
      <c r="J3" s="35"/>
    </row>
    <row r="4" spans="1:10" s="34" customFormat="1" ht="16.5" thickBot="1" x14ac:dyDescent="0.3">
      <c r="A4" s="1183"/>
      <c r="B4" s="112" t="s">
        <v>11</v>
      </c>
      <c r="C4" s="113" t="s">
        <v>0</v>
      </c>
      <c r="D4" s="114" t="s">
        <v>14</v>
      </c>
      <c r="E4" s="573" t="s">
        <v>10</v>
      </c>
      <c r="F4" s="114" t="s">
        <v>10</v>
      </c>
      <c r="G4" s="573" t="s">
        <v>10</v>
      </c>
      <c r="H4" s="114" t="s">
        <v>10</v>
      </c>
      <c r="I4" s="116" t="s">
        <v>10</v>
      </c>
      <c r="J4" s="35"/>
    </row>
    <row r="5" spans="1:10" s="124" customFormat="1" x14ac:dyDescent="0.25">
      <c r="A5" s="117">
        <v>1</v>
      </c>
      <c r="B5" s="118">
        <v>2</v>
      </c>
      <c r="C5" s="119" t="s">
        <v>363</v>
      </c>
      <c r="D5" s="120">
        <f>(154.32/B5)*35.92</f>
        <v>2771.5871999999999</v>
      </c>
      <c r="E5" s="121">
        <f>+D5*$B5</f>
        <v>5543.1743999999999</v>
      </c>
      <c r="F5" s="120" t="s">
        <v>369</v>
      </c>
      <c r="G5" s="121" t="s">
        <v>369</v>
      </c>
      <c r="H5" s="120" t="s">
        <v>369</v>
      </c>
      <c r="I5" s="122" t="s">
        <v>369</v>
      </c>
      <c r="J5" s="123"/>
    </row>
    <row r="6" spans="1:10" s="124" customFormat="1" x14ac:dyDescent="0.25">
      <c r="A6" s="125">
        <v>2</v>
      </c>
      <c r="B6" s="126">
        <v>2</v>
      </c>
      <c r="C6" s="127" t="s">
        <v>364</v>
      </c>
      <c r="D6" s="128">
        <f>(245.64/B6)*35.92</f>
        <v>4411.6944000000003</v>
      </c>
      <c r="E6" s="121">
        <f>+D6*$B6</f>
        <v>8823.3888000000006</v>
      </c>
      <c r="F6" s="120" t="s">
        <v>369</v>
      </c>
      <c r="G6" s="121" t="s">
        <v>369</v>
      </c>
      <c r="H6" s="120" t="s">
        <v>369</v>
      </c>
      <c r="I6" s="122" t="s">
        <v>369</v>
      </c>
      <c r="J6" s="123"/>
    </row>
    <row r="7" spans="1:10" s="124" customFormat="1" x14ac:dyDescent="0.25">
      <c r="A7" s="125">
        <v>3</v>
      </c>
      <c r="B7" s="126">
        <v>2</v>
      </c>
      <c r="C7" s="127" t="s">
        <v>365</v>
      </c>
      <c r="D7" s="128">
        <f>107.84*35.92</f>
        <v>3873.6128000000003</v>
      </c>
      <c r="E7" s="121">
        <f>+D7</f>
        <v>3873.6128000000003</v>
      </c>
      <c r="F7" s="120" t="s">
        <v>369</v>
      </c>
      <c r="G7" s="121" t="s">
        <v>369</v>
      </c>
      <c r="H7" s="120" t="s">
        <v>369</v>
      </c>
      <c r="I7" s="122" t="s">
        <v>369</v>
      </c>
      <c r="J7" s="123"/>
    </row>
    <row r="8" spans="1:10" s="124" customFormat="1" ht="16.5" thickBot="1" x14ac:dyDescent="0.3">
      <c r="A8" s="125">
        <v>4</v>
      </c>
      <c r="B8" s="126">
        <v>2</v>
      </c>
      <c r="C8" s="127" t="s">
        <v>366</v>
      </c>
      <c r="D8" s="128">
        <f>(119.96/B8)*35.92</f>
        <v>2154.4816000000001</v>
      </c>
      <c r="E8" s="121">
        <f>+D8*$B8</f>
        <v>4308.9632000000001</v>
      </c>
      <c r="F8" s="120" t="s">
        <v>369</v>
      </c>
      <c r="G8" s="121" t="s">
        <v>369</v>
      </c>
      <c r="H8" s="120" t="s">
        <v>369</v>
      </c>
      <c r="I8" s="122" t="s">
        <v>369</v>
      </c>
      <c r="J8" s="123"/>
    </row>
    <row r="9" spans="1:10" x14ac:dyDescent="0.25">
      <c r="A9" s="1094" t="s">
        <v>4</v>
      </c>
      <c r="B9" s="1095"/>
      <c r="C9" s="1185"/>
      <c r="D9" s="1186">
        <f>SUM(E5:E8)</f>
        <v>22549.139199999998</v>
      </c>
      <c r="E9" s="1187"/>
      <c r="F9" s="576"/>
      <c r="G9" s="577"/>
      <c r="H9" s="576"/>
      <c r="I9" s="578"/>
    </row>
    <row r="10" spans="1:10" x14ac:dyDescent="0.25">
      <c r="A10" s="1096" t="s">
        <v>5</v>
      </c>
      <c r="B10" s="1097"/>
      <c r="C10" s="1195"/>
      <c r="D10" s="1176">
        <v>0</v>
      </c>
      <c r="E10" s="1196"/>
      <c r="F10" s="579"/>
      <c r="G10" s="580"/>
      <c r="H10" s="579"/>
      <c r="I10" s="581"/>
    </row>
    <row r="11" spans="1:10" x14ac:dyDescent="0.25">
      <c r="A11" s="1199" t="s">
        <v>2</v>
      </c>
      <c r="B11" s="1200"/>
      <c r="C11" s="1201"/>
      <c r="D11" s="1176">
        <f>(D9-D10)*15%</f>
        <v>3382.3708799999995</v>
      </c>
      <c r="E11" s="1196"/>
      <c r="F11" s="579"/>
      <c r="G11" s="580"/>
      <c r="H11" s="579"/>
      <c r="I11" s="581"/>
    </row>
    <row r="12" spans="1:10" ht="16.5" thickBot="1" x14ac:dyDescent="0.3">
      <c r="A12" s="1189" t="s">
        <v>3</v>
      </c>
      <c r="B12" s="1190"/>
      <c r="C12" s="1191"/>
      <c r="D12" s="1192">
        <f>(D9-D10)+D11</f>
        <v>25931.510079999996</v>
      </c>
      <c r="E12" s="1193"/>
      <c r="F12" s="582"/>
      <c r="G12" s="583"/>
      <c r="H12" s="582"/>
      <c r="I12" s="584"/>
    </row>
    <row r="14" spans="1:10" x14ac:dyDescent="0.25">
      <c r="D14" s="108" t="s">
        <v>367</v>
      </c>
      <c r="E14" s="129"/>
      <c r="F14" s="129"/>
      <c r="G14" s="129"/>
      <c r="I14" s="129"/>
    </row>
    <row r="15" spans="1:10" x14ac:dyDescent="0.25">
      <c r="D15" s="108" t="s">
        <v>368</v>
      </c>
    </row>
  </sheetData>
  <mergeCells count="11">
    <mergeCell ref="A2:I2"/>
    <mergeCell ref="A3:A4"/>
    <mergeCell ref="D3:E3"/>
    <mergeCell ref="A9:C9"/>
    <mergeCell ref="D9:E9"/>
    <mergeCell ref="A12:C12"/>
    <mergeCell ref="D12:E12"/>
    <mergeCell ref="A10:C10"/>
    <mergeCell ref="D10:E10"/>
    <mergeCell ref="A11:C11"/>
    <mergeCell ref="D11:E11"/>
  </mergeCells>
  <conditionalFormatting sqref="E5:E8 G5:G8 I5:I8">
    <cfRule type="expression" dxfId="326" priority="5">
      <formula>D5=""</formula>
    </cfRule>
    <cfRule type="expression" dxfId="325" priority="6">
      <formula>D5=MIN($D5,$F5,$H5)</formula>
    </cfRule>
  </conditionalFormatting>
  <pageMargins left="0.25" right="0.25" top="0.75" bottom="0.75" header="0.3" footer="0.3"/>
  <pageSetup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449E9C-34AB-4BA6-978A-344B985E2C66}">
  <sheetPr codeName="Hoja56"/>
  <dimension ref="A2:L26"/>
  <sheetViews>
    <sheetView showGridLines="0" workbookViewId="0"/>
  </sheetViews>
  <sheetFormatPr baseColWidth="10" defaultRowHeight="15.75" x14ac:dyDescent="0.25"/>
  <cols>
    <col min="1" max="1" width="4.140625" style="34" bestFit="1" customWidth="1"/>
    <col min="2" max="2" width="6.28515625" style="34" bestFit="1" customWidth="1"/>
    <col min="3" max="3" width="18.5703125" style="34" bestFit="1" customWidth="1"/>
    <col min="4" max="4" width="14" style="34" bestFit="1" customWidth="1"/>
    <col min="5" max="5" width="15.140625" style="34" bestFit="1" customWidth="1"/>
    <col min="6" max="6" width="14" style="34" bestFit="1" customWidth="1"/>
    <col min="7" max="7" width="15.140625" style="34" bestFit="1" customWidth="1"/>
    <col min="8" max="11" width="11.140625" style="34" bestFit="1" customWidth="1"/>
    <col min="12" max="12" width="13.42578125" style="35" bestFit="1" customWidth="1"/>
    <col min="13" max="13" width="13.42578125" style="34" bestFit="1" customWidth="1"/>
    <col min="14" max="16384" width="11.42578125" style="34"/>
  </cols>
  <sheetData>
    <row r="2" spans="1:12" ht="16.5" thickBot="1" x14ac:dyDescent="0.3"/>
    <row r="3" spans="1:12" ht="16.5" thickBot="1" x14ac:dyDescent="0.3">
      <c r="A3" s="1100" t="s">
        <v>1</v>
      </c>
      <c r="B3" s="1350"/>
      <c r="C3" s="1350"/>
      <c r="D3" s="1101"/>
      <c r="E3" s="1101"/>
      <c r="F3" s="1101"/>
      <c r="G3" s="1101"/>
      <c r="H3" s="1101"/>
      <c r="I3" s="1101"/>
      <c r="J3" s="1101"/>
      <c r="K3" s="1102"/>
    </row>
    <row r="4" spans="1:12" ht="16.5" thickBot="1" x14ac:dyDescent="0.3">
      <c r="A4" s="1182" t="s">
        <v>6</v>
      </c>
      <c r="B4" s="110" t="s">
        <v>17</v>
      </c>
      <c r="C4" s="111" t="s">
        <v>370</v>
      </c>
      <c r="D4" s="1184" t="s">
        <v>380</v>
      </c>
      <c r="E4" s="1102"/>
      <c r="F4" s="1100" t="s">
        <v>67</v>
      </c>
      <c r="G4" s="1102"/>
      <c r="H4" s="1100" t="s">
        <v>333</v>
      </c>
      <c r="I4" s="1102"/>
      <c r="J4" s="1100" t="s">
        <v>66</v>
      </c>
      <c r="K4" s="1102"/>
    </row>
    <row r="5" spans="1:12" ht="16.5" thickBot="1" x14ac:dyDescent="0.3">
      <c r="A5" s="1183"/>
      <c r="B5" s="112" t="s">
        <v>11</v>
      </c>
      <c r="C5" s="113" t="s">
        <v>0</v>
      </c>
      <c r="D5" s="114" t="s">
        <v>14</v>
      </c>
      <c r="E5" s="586" t="s">
        <v>10</v>
      </c>
      <c r="F5" s="114" t="s">
        <v>14</v>
      </c>
      <c r="G5" s="586" t="s">
        <v>10</v>
      </c>
      <c r="H5" s="114" t="s">
        <v>14</v>
      </c>
      <c r="I5" s="116" t="s">
        <v>10</v>
      </c>
      <c r="J5" s="114" t="s">
        <v>14</v>
      </c>
      <c r="K5" s="116" t="s">
        <v>10</v>
      </c>
    </row>
    <row r="6" spans="1:12" s="346" customFormat="1" ht="31.5" x14ac:dyDescent="0.25">
      <c r="A6" s="117">
        <v>1</v>
      </c>
      <c r="B6" s="340">
        <v>100</v>
      </c>
      <c r="C6" s="508" t="s">
        <v>371</v>
      </c>
      <c r="D6" s="570" t="s">
        <v>36</v>
      </c>
      <c r="E6" s="569" t="s">
        <v>36</v>
      </c>
      <c r="F6" s="570">
        <f>54.288/B6</f>
        <v>0.54287999999999992</v>
      </c>
      <c r="G6" s="569">
        <f t="shared" ref="G6:G11" si="0">+F6*$B6</f>
        <v>54.28799999999999</v>
      </c>
      <c r="H6" s="570" t="s">
        <v>36</v>
      </c>
      <c r="I6" s="569" t="s">
        <v>36</v>
      </c>
      <c r="J6" s="570">
        <v>0.6</v>
      </c>
      <c r="K6" s="569">
        <f t="shared" ref="K6:K15" si="1">+J6*$B6</f>
        <v>60</v>
      </c>
      <c r="L6" s="345"/>
    </row>
    <row r="7" spans="1:12" s="346" customFormat="1" x14ac:dyDescent="0.25">
      <c r="A7" s="117">
        <v>3</v>
      </c>
      <c r="B7" s="340">
        <v>18</v>
      </c>
      <c r="C7" s="508" t="s">
        <v>372</v>
      </c>
      <c r="D7" s="570">
        <v>87.459100000000007</v>
      </c>
      <c r="E7" s="569">
        <f>+D7*$B7</f>
        <v>1574.2638000000002</v>
      </c>
      <c r="F7" s="570">
        <v>47.782899999999998</v>
      </c>
      <c r="G7" s="569">
        <f t="shared" si="0"/>
        <v>860.09219999999993</v>
      </c>
      <c r="H7" s="570">
        <v>40.08</v>
      </c>
      <c r="I7" s="569">
        <f>+H7*$B7</f>
        <v>721.43999999999994</v>
      </c>
      <c r="J7" s="570">
        <v>32</v>
      </c>
      <c r="K7" s="569">
        <f t="shared" si="1"/>
        <v>576</v>
      </c>
      <c r="L7" s="345"/>
    </row>
    <row r="8" spans="1:12" s="346" customFormat="1" x14ac:dyDescent="0.25">
      <c r="A8" s="117">
        <v>4</v>
      </c>
      <c r="B8" s="340">
        <v>2</v>
      </c>
      <c r="C8" s="508" t="s">
        <v>61</v>
      </c>
      <c r="D8" s="570" t="s">
        <v>36</v>
      </c>
      <c r="E8" s="569" t="s">
        <v>36</v>
      </c>
      <c r="F8" s="570">
        <v>45.711500000000001</v>
      </c>
      <c r="G8" s="569">
        <f t="shared" si="0"/>
        <v>91.423000000000002</v>
      </c>
      <c r="H8" s="570">
        <v>17.399999999999999</v>
      </c>
      <c r="I8" s="569">
        <f>+H8*$B8</f>
        <v>34.799999999999997</v>
      </c>
      <c r="J8" s="570">
        <v>70</v>
      </c>
      <c r="K8" s="569">
        <f t="shared" si="1"/>
        <v>140</v>
      </c>
      <c r="L8" s="345"/>
    </row>
    <row r="9" spans="1:12" s="346" customFormat="1" x14ac:dyDescent="0.25">
      <c r="A9" s="117">
        <v>5</v>
      </c>
      <c r="B9" s="340">
        <v>100</v>
      </c>
      <c r="C9" s="508" t="s">
        <v>373</v>
      </c>
      <c r="D9" s="570">
        <f>186.94/B9</f>
        <v>1.8694</v>
      </c>
      <c r="E9" s="569">
        <f>+D9*$B9</f>
        <v>186.94</v>
      </c>
      <c r="F9" s="570">
        <v>1.0087999999999999</v>
      </c>
      <c r="G9" s="569">
        <f t="shared" si="0"/>
        <v>100.88</v>
      </c>
      <c r="H9" s="570">
        <v>2.62</v>
      </c>
      <c r="I9" s="569">
        <f>+H9*$B9</f>
        <v>262</v>
      </c>
      <c r="J9" s="570">
        <v>1.95</v>
      </c>
      <c r="K9" s="569">
        <f t="shared" si="1"/>
        <v>195</v>
      </c>
      <c r="L9" s="345"/>
    </row>
    <row r="10" spans="1:12" s="346" customFormat="1" x14ac:dyDescent="0.25">
      <c r="A10" s="117">
        <v>6</v>
      </c>
      <c r="B10" s="340">
        <v>1</v>
      </c>
      <c r="C10" s="508" t="s">
        <v>374</v>
      </c>
      <c r="D10" s="570">
        <v>98.387900000000002</v>
      </c>
      <c r="E10" s="569">
        <f>+D10*$B10</f>
        <v>98.387900000000002</v>
      </c>
      <c r="F10" s="570">
        <v>53.735100000000003</v>
      </c>
      <c r="G10" s="569">
        <f t="shared" si="0"/>
        <v>53.735100000000003</v>
      </c>
      <c r="H10" s="570" t="s">
        <v>36</v>
      </c>
      <c r="I10" s="569" t="s">
        <v>36</v>
      </c>
      <c r="J10" s="570">
        <v>85</v>
      </c>
      <c r="K10" s="569">
        <f t="shared" si="1"/>
        <v>85</v>
      </c>
      <c r="L10" s="345"/>
    </row>
    <row r="11" spans="1:12" s="346" customFormat="1" x14ac:dyDescent="0.25">
      <c r="A11" s="117">
        <v>8</v>
      </c>
      <c r="B11" s="340">
        <v>50</v>
      </c>
      <c r="C11" s="508" t="s">
        <v>376</v>
      </c>
      <c r="D11" s="570" t="s">
        <v>36</v>
      </c>
      <c r="E11" s="569" t="s">
        <v>36</v>
      </c>
      <c r="F11" s="570">
        <f>111.0997/B11</f>
        <v>2.221994</v>
      </c>
      <c r="G11" s="569">
        <f t="shared" si="0"/>
        <v>111.0997</v>
      </c>
      <c r="H11" s="570">
        <f>64.34/B11</f>
        <v>1.2868000000000002</v>
      </c>
      <c r="I11" s="569">
        <f>+H11*$B11</f>
        <v>64.34</v>
      </c>
      <c r="J11" s="570">
        <v>1.6</v>
      </c>
      <c r="K11" s="569">
        <f t="shared" si="1"/>
        <v>80</v>
      </c>
      <c r="L11" s="345"/>
    </row>
    <row r="12" spans="1:12" s="346" customFormat="1" x14ac:dyDescent="0.25">
      <c r="A12" s="117">
        <v>9</v>
      </c>
      <c r="B12" s="340">
        <v>50</v>
      </c>
      <c r="C12" s="508" t="s">
        <v>377</v>
      </c>
      <c r="D12" s="570">
        <v>1.704</v>
      </c>
      <c r="E12" s="569">
        <f>+D12*$B12</f>
        <v>85.2</v>
      </c>
      <c r="F12" s="570" t="s">
        <v>36</v>
      </c>
      <c r="G12" s="569" t="s">
        <v>36</v>
      </c>
      <c r="H12" s="570">
        <v>0.95</v>
      </c>
      <c r="I12" s="569">
        <f>+H12*$B12</f>
        <v>47.5</v>
      </c>
      <c r="J12" s="570"/>
      <c r="K12" s="569">
        <f t="shared" si="1"/>
        <v>0</v>
      </c>
      <c r="L12" s="345"/>
    </row>
    <row r="13" spans="1:12" s="346" customFormat="1" x14ac:dyDescent="0.25">
      <c r="A13" s="117">
        <v>11</v>
      </c>
      <c r="B13" s="347">
        <v>1</v>
      </c>
      <c r="C13" s="589" t="s">
        <v>378</v>
      </c>
      <c r="D13" s="590">
        <v>208.4776</v>
      </c>
      <c r="E13" s="569">
        <f>+D13*$B13</f>
        <v>208.4776</v>
      </c>
      <c r="F13" s="590">
        <v>115.2139</v>
      </c>
      <c r="G13" s="569">
        <f>+F13*$B13</f>
        <v>115.2139</v>
      </c>
      <c r="H13" s="590">
        <v>161.26</v>
      </c>
      <c r="I13" s="569">
        <f>+H13*$B13</f>
        <v>161.26</v>
      </c>
      <c r="J13" s="590">
        <v>145</v>
      </c>
      <c r="K13" s="569">
        <f t="shared" si="1"/>
        <v>145</v>
      </c>
      <c r="L13" s="345"/>
    </row>
    <row r="14" spans="1:12" s="346" customFormat="1" x14ac:dyDescent="0.25">
      <c r="A14" s="117">
        <v>12</v>
      </c>
      <c r="B14" s="347">
        <v>1</v>
      </c>
      <c r="C14" s="589" t="s">
        <v>379</v>
      </c>
      <c r="D14" s="590" t="s">
        <v>36</v>
      </c>
      <c r="E14" s="569" t="s">
        <v>36</v>
      </c>
      <c r="F14" s="590">
        <v>287.30770000000001</v>
      </c>
      <c r="G14" s="569">
        <f>+F14*$B14</f>
        <v>287.30770000000001</v>
      </c>
      <c r="H14" s="590" t="s">
        <v>36</v>
      </c>
      <c r="I14" s="569" t="s">
        <v>36</v>
      </c>
      <c r="J14" s="590">
        <v>295</v>
      </c>
      <c r="K14" s="569">
        <f t="shared" si="1"/>
        <v>295</v>
      </c>
      <c r="L14" s="345"/>
    </row>
    <row r="15" spans="1:12" s="346" customFormat="1" ht="32.25" thickBot="1" x14ac:dyDescent="0.3">
      <c r="A15" s="117">
        <v>14</v>
      </c>
      <c r="B15" s="353">
        <v>2</v>
      </c>
      <c r="C15" s="513" t="s">
        <v>381</v>
      </c>
      <c r="D15" s="591">
        <v>101.6953</v>
      </c>
      <c r="E15" s="569">
        <f>+D15*$B15</f>
        <v>203.39060000000001</v>
      </c>
      <c r="F15" s="591">
        <v>55.336300000000001</v>
      </c>
      <c r="G15" s="569">
        <f>+F15*$B15</f>
        <v>110.6726</v>
      </c>
      <c r="H15" s="591">
        <v>58.28</v>
      </c>
      <c r="I15" s="569">
        <f>+H15*$B15</f>
        <v>116.56</v>
      </c>
      <c r="J15" s="591">
        <v>55</v>
      </c>
      <c r="K15" s="569">
        <f t="shared" si="1"/>
        <v>110</v>
      </c>
      <c r="L15" s="345"/>
    </row>
    <row r="16" spans="1:12" x14ac:dyDescent="0.25">
      <c r="A16" s="1094" t="s">
        <v>4</v>
      </c>
      <c r="B16" s="1095"/>
      <c r="C16" s="1185"/>
      <c r="D16" s="1186">
        <f>SUM(E6:E15)</f>
        <v>2356.6599000000006</v>
      </c>
      <c r="E16" s="1187"/>
      <c r="F16" s="1186">
        <f>SUM(G6:G15)</f>
        <v>1784.7122000000002</v>
      </c>
      <c r="G16" s="1187"/>
      <c r="H16" s="1186">
        <f>SUM(I6:I15)</f>
        <v>1407.8999999999999</v>
      </c>
      <c r="I16" s="1188"/>
      <c r="J16" s="1186">
        <f>SUM(K6:K15)</f>
        <v>1686</v>
      </c>
      <c r="K16" s="1188"/>
    </row>
    <row r="17" spans="1:12" x14ac:dyDescent="0.25">
      <c r="A17" s="1096" t="s">
        <v>5</v>
      </c>
      <c r="B17" s="1097"/>
      <c r="C17" s="1195"/>
      <c r="D17" s="1176">
        <v>0</v>
      </c>
      <c r="E17" s="1196"/>
      <c r="F17" s="1176">
        <v>0</v>
      </c>
      <c r="G17" s="1196"/>
      <c r="H17" s="1176">
        <v>0</v>
      </c>
      <c r="I17" s="1177"/>
      <c r="J17" s="1176">
        <v>0</v>
      </c>
      <c r="K17" s="1177"/>
    </row>
    <row r="18" spans="1:12" x14ac:dyDescent="0.25">
      <c r="A18" s="1096" t="s">
        <v>2</v>
      </c>
      <c r="B18" s="1097"/>
      <c r="C18" s="1195"/>
      <c r="D18" s="1176">
        <f>(D16-D17)*15%</f>
        <v>353.49898500000006</v>
      </c>
      <c r="E18" s="1196"/>
      <c r="F18" s="1176">
        <f>(F16-F17)*15%</f>
        <v>267.70683000000002</v>
      </c>
      <c r="G18" s="1196"/>
      <c r="H18" s="1176">
        <f>(H16-H17)*15%</f>
        <v>211.18499999999997</v>
      </c>
      <c r="I18" s="1177"/>
      <c r="J18" s="1176">
        <v>0</v>
      </c>
      <c r="K18" s="1177"/>
    </row>
    <row r="19" spans="1:12" ht="16.5" thickBot="1" x14ac:dyDescent="0.3">
      <c r="A19" s="1098" t="s">
        <v>3</v>
      </c>
      <c r="B19" s="1099"/>
      <c r="C19" s="1454"/>
      <c r="D19" s="1457">
        <f>(D16-D17)+D18</f>
        <v>2710.1588850000007</v>
      </c>
      <c r="E19" s="1458"/>
      <c r="F19" s="1457">
        <f>(F16-F17)+F18</f>
        <v>2052.41903</v>
      </c>
      <c r="G19" s="1458"/>
      <c r="H19" s="1457">
        <f>(H16-H17)+H18</f>
        <v>1619.0849999999998</v>
      </c>
      <c r="I19" s="1346"/>
      <c r="J19" s="1457">
        <f>(J16-J17)+J18</f>
        <v>1686</v>
      </c>
      <c r="K19" s="1346"/>
    </row>
    <row r="20" spans="1:12" ht="16.5" thickBot="1" x14ac:dyDescent="0.3"/>
    <row r="21" spans="1:12" ht="16.5" thickBot="1" x14ac:dyDescent="0.3">
      <c r="A21" s="1182" t="s">
        <v>6</v>
      </c>
      <c r="B21" s="110" t="s">
        <v>17</v>
      </c>
      <c r="C21" s="111" t="s">
        <v>370</v>
      </c>
      <c r="D21" s="1184" t="s">
        <v>385</v>
      </c>
      <c r="E21" s="1102"/>
      <c r="F21" s="1100" t="s">
        <v>127</v>
      </c>
      <c r="G21" s="1102"/>
      <c r="H21" s="35"/>
      <c r="J21" s="35"/>
      <c r="L21" s="34"/>
    </row>
    <row r="22" spans="1:12" ht="16.5" thickBot="1" x14ac:dyDescent="0.3">
      <c r="A22" s="1183"/>
      <c r="B22" s="112" t="s">
        <v>11</v>
      </c>
      <c r="C22" s="113" t="s">
        <v>0</v>
      </c>
      <c r="D22" s="114" t="s">
        <v>14</v>
      </c>
      <c r="E22" s="586" t="s">
        <v>10</v>
      </c>
      <c r="F22" s="114" t="s">
        <v>14</v>
      </c>
      <c r="G22" s="116" t="s">
        <v>10</v>
      </c>
      <c r="H22" s="35"/>
      <c r="J22" s="35"/>
      <c r="L22" s="34"/>
    </row>
    <row r="23" spans="1:12" ht="16.5" thickBot="1" x14ac:dyDescent="0.3">
      <c r="A23" s="592">
        <v>1</v>
      </c>
      <c r="B23" s="593">
        <v>10</v>
      </c>
      <c r="C23" s="594" t="s">
        <v>375</v>
      </c>
      <c r="D23" s="595">
        <v>20477.939999999999</v>
      </c>
      <c r="E23" s="596">
        <f>+D23*$B23</f>
        <v>204779.4</v>
      </c>
      <c r="F23" s="595">
        <f>340*TC!C3</f>
        <v>12136.232</v>
      </c>
      <c r="G23" s="597">
        <f>+F23*$B23</f>
        <v>121362.32</v>
      </c>
      <c r="H23" s="35"/>
      <c r="J23" s="35"/>
      <c r="L23" s="34"/>
    </row>
    <row r="24" spans="1:12" x14ac:dyDescent="0.25">
      <c r="A24" s="1094" t="s">
        <v>2</v>
      </c>
      <c r="B24" s="1095"/>
      <c r="C24" s="1185"/>
      <c r="D24" s="1186">
        <f>(E23)*15%</f>
        <v>30716.909999999996</v>
      </c>
      <c r="E24" s="1187"/>
      <c r="F24" s="1186">
        <f>(G23)*15%</f>
        <v>18204.348000000002</v>
      </c>
      <c r="G24" s="1188"/>
    </row>
    <row r="25" spans="1:12" ht="16.5" thickBot="1" x14ac:dyDescent="0.3">
      <c r="A25" s="1098" t="s">
        <v>3</v>
      </c>
      <c r="B25" s="1099"/>
      <c r="C25" s="1454"/>
      <c r="D25" s="1457">
        <f>(E23)+D24</f>
        <v>235496.31</v>
      </c>
      <c r="E25" s="1458"/>
      <c r="F25" s="1457">
        <f>(G23)+F24</f>
        <v>139566.66800000001</v>
      </c>
      <c r="G25" s="1346"/>
    </row>
    <row r="26" spans="1:12" x14ac:dyDescent="0.25">
      <c r="G26" s="40"/>
    </row>
  </sheetData>
  <mergeCells count="35">
    <mergeCell ref="A25:C25"/>
    <mergeCell ref="D25:E25"/>
    <mergeCell ref="F25:G25"/>
    <mergeCell ref="A24:C24"/>
    <mergeCell ref="D24:E24"/>
    <mergeCell ref="F24:G24"/>
    <mergeCell ref="A21:A22"/>
    <mergeCell ref="D21:E21"/>
    <mergeCell ref="F21:G21"/>
    <mergeCell ref="A19:C19"/>
    <mergeCell ref="D19:E19"/>
    <mergeCell ref="F19:G19"/>
    <mergeCell ref="J19:K19"/>
    <mergeCell ref="A17:C17"/>
    <mergeCell ref="D17:E17"/>
    <mergeCell ref="F17:G17"/>
    <mergeCell ref="J17:K17"/>
    <mergeCell ref="A18:C18"/>
    <mergeCell ref="D18:E18"/>
    <mergeCell ref="F18:G18"/>
    <mergeCell ref="J18:K18"/>
    <mergeCell ref="H17:I17"/>
    <mergeCell ref="H18:I18"/>
    <mergeCell ref="H19:I19"/>
    <mergeCell ref="A16:C16"/>
    <mergeCell ref="D16:E16"/>
    <mergeCell ref="F16:G16"/>
    <mergeCell ref="J16:K16"/>
    <mergeCell ref="A3:K3"/>
    <mergeCell ref="A4:A5"/>
    <mergeCell ref="D4:E4"/>
    <mergeCell ref="F4:G4"/>
    <mergeCell ref="J4:K4"/>
    <mergeCell ref="H4:I4"/>
    <mergeCell ref="H16:I16"/>
  </mergeCells>
  <conditionalFormatting sqref="E6:E15 G6:G15 I6:I15 K6:K15">
    <cfRule type="expression" dxfId="324" priority="9">
      <formula>D6=""</formula>
    </cfRule>
  </conditionalFormatting>
  <conditionalFormatting sqref="E23 G23">
    <cfRule type="expression" dxfId="323" priority="174">
      <formula>D23=""</formula>
    </cfRule>
    <cfRule type="expression" dxfId="322" priority="175">
      <formula>D23=MIN($D23,$F23,#REF!)</formula>
    </cfRule>
  </conditionalFormatting>
  <conditionalFormatting sqref="E6:E15 G6:G15 I6:I15 K6:K15">
    <cfRule type="expression" dxfId="321" priority="10">
      <formula>D6=MIN($D6,$F6,$H6,$J6)</formula>
    </cfRule>
  </conditionalFormatting>
  <pageMargins left="0.25" right="0.25" top="0.75" bottom="0.75" header="0.3" footer="0.3"/>
  <pageSetup orientation="landscape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C1B47-EE47-494D-8B8C-F39F363B27C4}">
  <sheetPr codeName="Hoja57"/>
  <dimension ref="B2:I12"/>
  <sheetViews>
    <sheetView showGridLines="0" workbookViewId="0">
      <selection activeCell="J8" sqref="J8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2.28515625" style="1" bestFit="1" customWidth="1"/>
    <col min="8" max="8" width="15.425781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382</v>
      </c>
      <c r="E4" s="1252" t="s">
        <v>384</v>
      </c>
      <c r="F4" s="1251"/>
      <c r="G4" s="1248" t="s">
        <v>72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585" t="s">
        <v>10</v>
      </c>
      <c r="G5" s="31" t="s">
        <v>14</v>
      </c>
      <c r="H5" s="585" t="s">
        <v>10</v>
      </c>
      <c r="I5" s="6"/>
    </row>
    <row r="6" spans="2:9" s="3" customFormat="1" ht="18" thickBot="1" x14ac:dyDescent="0.35">
      <c r="B6" s="19">
        <v>1</v>
      </c>
      <c r="C6" s="16">
        <v>24</v>
      </c>
      <c r="D6" s="9" t="s">
        <v>383</v>
      </c>
      <c r="E6" s="24">
        <v>1100</v>
      </c>
      <c r="F6" s="23">
        <f>+E6*$C6</f>
        <v>26400</v>
      </c>
      <c r="G6" s="24">
        <v>800</v>
      </c>
      <c r="H6" s="23">
        <f>+G6*$C6</f>
        <v>19200</v>
      </c>
      <c r="I6" s="7"/>
    </row>
    <row r="7" spans="2:9" x14ac:dyDescent="0.3">
      <c r="B7" s="1217" t="s">
        <v>4</v>
      </c>
      <c r="C7" s="1218"/>
      <c r="D7" s="1219"/>
      <c r="E7" s="1245">
        <f>SUM(F6:F6)</f>
        <v>26400</v>
      </c>
      <c r="F7" s="1246"/>
      <c r="G7" s="1245">
        <f>SUM(H6:H6)</f>
        <v>19200</v>
      </c>
      <c r="H7" s="1246"/>
    </row>
    <row r="8" spans="2:9" x14ac:dyDescent="0.3">
      <c r="B8" s="1205" t="s">
        <v>5</v>
      </c>
      <c r="C8" s="1206"/>
      <c r="D8" s="1207"/>
      <c r="E8" s="1242">
        <v>0</v>
      </c>
      <c r="F8" s="1243"/>
      <c r="G8" s="1242">
        <v>0</v>
      </c>
      <c r="H8" s="1243"/>
    </row>
    <row r="9" spans="2:9" x14ac:dyDescent="0.3">
      <c r="B9" s="1208" t="s">
        <v>2</v>
      </c>
      <c r="C9" s="1209"/>
      <c r="D9" s="1210"/>
      <c r="E9" s="1242">
        <v>0</v>
      </c>
      <c r="F9" s="1243"/>
      <c r="G9" s="1242">
        <v>0</v>
      </c>
      <c r="H9" s="1243"/>
    </row>
    <row r="10" spans="2:9" ht="18" thickBot="1" x14ac:dyDescent="0.35">
      <c r="B10" s="1202" t="s">
        <v>3</v>
      </c>
      <c r="C10" s="1203"/>
      <c r="D10" s="1204"/>
      <c r="E10" s="1253">
        <f>(E7-E8)+E9</f>
        <v>26400</v>
      </c>
      <c r="F10" s="1254"/>
      <c r="G10" s="1253">
        <f>(G7-G8)+G9</f>
        <v>19200</v>
      </c>
      <c r="H10" s="1254"/>
    </row>
    <row r="12" spans="2:9" x14ac:dyDescent="0.3">
      <c r="F12" s="4"/>
      <c r="G12" s="4"/>
      <c r="H12" s="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conditionalFormatting sqref="F6 H6">
    <cfRule type="expression" dxfId="320" priority="170">
      <formula>E6=""</formula>
    </cfRule>
    <cfRule type="expression" dxfId="319" priority="171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7C2B8-5012-49D1-8743-C5151C0757DE}">
  <sheetPr codeName="Hoja58"/>
  <dimension ref="B2:J12"/>
  <sheetViews>
    <sheetView showGridLines="0" workbookViewId="0">
      <selection activeCell="D6" sqref="D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18.7109375" style="2" bestFit="1" customWidth="1"/>
    <col min="5" max="5" width="12.28515625" style="2" bestFit="1" customWidth="1"/>
    <col min="6" max="6" width="14.140625" style="2" bestFit="1" customWidth="1"/>
    <col min="7" max="7" width="11" style="2" bestFit="1" customWidth="1"/>
    <col min="8" max="8" width="12.28515625" style="2" bestFit="1" customWidth="1"/>
    <col min="9" max="9" width="9.140625" style="2" bestFit="1" customWidth="1"/>
    <col min="10" max="10" width="13.42578125" style="6" bestFit="1" customWidth="1"/>
    <col min="11" max="11" width="13.42578125" style="2" bestFit="1" customWidth="1"/>
    <col min="12" max="16384" width="11.42578125" style="2"/>
  </cols>
  <sheetData>
    <row r="2" spans="2:10" ht="18" thickBot="1" x14ac:dyDescent="0.3"/>
    <row r="3" spans="2:10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1"/>
    </row>
    <row r="4" spans="2:10" ht="18" thickBot="1" x14ac:dyDescent="0.3">
      <c r="B4" s="1215" t="s">
        <v>6</v>
      </c>
      <c r="C4" s="29" t="s">
        <v>17</v>
      </c>
      <c r="D4" s="30" t="s">
        <v>386</v>
      </c>
      <c r="E4" s="1252" t="s">
        <v>388</v>
      </c>
      <c r="F4" s="1251"/>
      <c r="G4" s="1248" t="s">
        <v>389</v>
      </c>
      <c r="H4" s="1251"/>
      <c r="I4" s="134" t="s">
        <v>390</v>
      </c>
    </row>
    <row r="5" spans="2:10" ht="18" thickBot="1" x14ac:dyDescent="0.3">
      <c r="B5" s="1216"/>
      <c r="C5" s="33" t="s">
        <v>11</v>
      </c>
      <c r="D5" s="21" t="s">
        <v>0</v>
      </c>
      <c r="E5" s="31" t="s">
        <v>14</v>
      </c>
      <c r="F5" s="588" t="s">
        <v>10</v>
      </c>
      <c r="G5" s="31" t="s">
        <v>14</v>
      </c>
      <c r="H5" s="588" t="s">
        <v>10</v>
      </c>
      <c r="I5" s="587" t="s">
        <v>14</v>
      </c>
    </row>
    <row r="6" spans="2:10" s="157" customFormat="1" ht="35.25" thickBot="1" x14ac:dyDescent="0.3">
      <c r="B6" s="19">
        <v>1</v>
      </c>
      <c r="C6" s="158">
        <v>6</v>
      </c>
      <c r="D6" s="159" t="s">
        <v>387</v>
      </c>
      <c r="E6" s="160">
        <f>6*36.2</f>
        <v>217.20000000000002</v>
      </c>
      <c r="F6" s="161">
        <f>+E6*$C6</f>
        <v>1303.2</v>
      </c>
      <c r="G6" s="160">
        <f>122.76/C6</f>
        <v>20.46</v>
      </c>
      <c r="H6" s="161">
        <f>+G6*$C6</f>
        <v>122.76</v>
      </c>
      <c r="I6" s="598" t="s">
        <v>369</v>
      </c>
      <c r="J6" s="163"/>
    </row>
    <row r="7" spans="2:10" x14ac:dyDescent="0.25">
      <c r="B7" s="1217" t="s">
        <v>4</v>
      </c>
      <c r="C7" s="1218"/>
      <c r="D7" s="1219"/>
      <c r="E7" s="1245">
        <f>SUM(F6:F6)</f>
        <v>1303.2</v>
      </c>
      <c r="F7" s="1246"/>
      <c r="G7" s="1245">
        <f>SUM(H6:H6)</f>
        <v>122.76</v>
      </c>
      <c r="H7" s="1246"/>
      <c r="I7" s="136"/>
    </row>
    <row r="8" spans="2:10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3"/>
      <c r="I8" s="137"/>
    </row>
    <row r="9" spans="2:10" x14ac:dyDescent="0.25">
      <c r="B9" s="1205" t="s">
        <v>2</v>
      </c>
      <c r="C9" s="1206"/>
      <c r="D9" s="1207"/>
      <c r="E9" s="1242">
        <f>(E7-E8)*15%</f>
        <v>195.48</v>
      </c>
      <c r="F9" s="1243"/>
      <c r="G9" s="1242">
        <f>(G7-G8)*15%</f>
        <v>18.414000000000001</v>
      </c>
      <c r="H9" s="1243"/>
      <c r="I9" s="137"/>
    </row>
    <row r="10" spans="2:10" ht="18" thickBot="1" x14ac:dyDescent="0.3">
      <c r="B10" s="1236" t="s">
        <v>3</v>
      </c>
      <c r="C10" s="1237"/>
      <c r="D10" s="1238"/>
      <c r="E10" s="1239">
        <f>(E7-E8)+E9</f>
        <v>1498.68</v>
      </c>
      <c r="F10" s="1240"/>
      <c r="G10" s="1239">
        <f>(G7-G8)+G9</f>
        <v>141.17400000000001</v>
      </c>
      <c r="H10" s="1240"/>
      <c r="I10" s="270"/>
    </row>
    <row r="12" spans="2:10" x14ac:dyDescent="0.25">
      <c r="F12" s="164"/>
      <c r="G12" s="164"/>
      <c r="H12" s="164"/>
    </row>
  </sheetData>
  <mergeCells count="16">
    <mergeCell ref="B3:I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conditionalFormatting sqref="F6 H6">
    <cfRule type="expression" dxfId="318" priority="5">
      <formula>E6=""</formula>
    </cfRule>
    <cfRule type="expression" dxfId="317" priority="6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1F4249-2D2F-4AA1-937C-8C1281218109}">
  <sheetPr codeName="Hoja59"/>
  <dimension ref="B2:K15"/>
  <sheetViews>
    <sheetView showGridLines="0" workbookViewId="0">
      <selection activeCell="E4" sqref="E4: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2.28515625" style="1" bestFit="1" customWidth="1"/>
    <col min="6" max="6" width="15.42578125" style="1" bestFit="1" customWidth="1"/>
    <col min="7" max="7" width="12.28515625" style="1" bestFit="1" customWidth="1"/>
    <col min="8" max="8" width="15.42578125" style="1" bestFit="1" customWidth="1"/>
    <col min="9" max="9" width="12.28515625" style="1" bestFit="1" customWidth="1"/>
    <col min="10" max="10" width="15.425781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391</v>
      </c>
      <c r="E4" s="1252" t="s">
        <v>272</v>
      </c>
      <c r="F4" s="1251"/>
      <c r="G4" s="1248" t="s">
        <v>211</v>
      </c>
      <c r="H4" s="1251"/>
      <c r="I4" s="1248" t="s">
        <v>273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588" t="s">
        <v>10</v>
      </c>
      <c r="G5" s="31" t="s">
        <v>14</v>
      </c>
      <c r="H5" s="588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5000</v>
      </c>
      <c r="D6" s="9" t="s">
        <v>392</v>
      </c>
      <c r="E6" s="24">
        <f>16732/C6</f>
        <v>3.3464</v>
      </c>
      <c r="F6" s="23">
        <f>+E6*$C6</f>
        <v>16732</v>
      </c>
      <c r="G6" s="24" t="s">
        <v>36</v>
      </c>
      <c r="H6" s="23" t="s">
        <v>36</v>
      </c>
      <c r="I6" s="24" t="s">
        <v>36</v>
      </c>
      <c r="J6" s="27" t="s">
        <v>36</v>
      </c>
      <c r="K6" s="7"/>
    </row>
    <row r="7" spans="2:11" s="3" customFormat="1" x14ac:dyDescent="0.3">
      <c r="B7" s="20">
        <v>2</v>
      </c>
      <c r="C7" s="17">
        <v>36</v>
      </c>
      <c r="D7" s="8" t="s">
        <v>393</v>
      </c>
      <c r="E7" s="25">
        <v>63.65</v>
      </c>
      <c r="F7" s="23">
        <f t="shared" ref="F7:F9" si="0">+E7*$C7</f>
        <v>2291.4</v>
      </c>
      <c r="G7" s="25">
        <v>75</v>
      </c>
      <c r="H7" s="23">
        <f t="shared" ref="H7:H9" si="1">+G7*$C7</f>
        <v>2700</v>
      </c>
      <c r="I7" s="25">
        <v>70</v>
      </c>
      <c r="J7" s="27">
        <f t="shared" ref="J7:J9" si="2">+I7*$C7</f>
        <v>2520</v>
      </c>
      <c r="K7" s="7"/>
    </row>
    <row r="8" spans="2:11" s="3" customFormat="1" x14ac:dyDescent="0.3">
      <c r="B8" s="20">
        <v>3</v>
      </c>
      <c r="C8" s="17">
        <v>72</v>
      </c>
      <c r="D8" s="8" t="s">
        <v>394</v>
      </c>
      <c r="E8" s="25">
        <v>169.06</v>
      </c>
      <c r="F8" s="599">
        <f t="shared" si="0"/>
        <v>12172.32</v>
      </c>
      <c r="G8" s="25">
        <v>162</v>
      </c>
      <c r="H8" s="23">
        <f t="shared" si="1"/>
        <v>11664</v>
      </c>
      <c r="I8" s="25">
        <v>172.53</v>
      </c>
      <c r="J8" s="27">
        <f t="shared" si="2"/>
        <v>12422.16</v>
      </c>
      <c r="K8" s="7"/>
    </row>
    <row r="9" spans="2:11" s="3" customFormat="1" ht="18" thickBot="1" x14ac:dyDescent="0.35">
      <c r="B9" s="20">
        <v>4</v>
      </c>
      <c r="C9" s="17">
        <v>50</v>
      </c>
      <c r="D9" s="8" t="s">
        <v>395</v>
      </c>
      <c r="E9" s="25">
        <v>129</v>
      </c>
      <c r="F9" s="23">
        <f t="shared" si="0"/>
        <v>6450</v>
      </c>
      <c r="G9" s="25">
        <v>120</v>
      </c>
      <c r="H9" s="23">
        <f t="shared" si="1"/>
        <v>6000</v>
      </c>
      <c r="I9" s="25">
        <v>130</v>
      </c>
      <c r="J9" s="27">
        <f t="shared" si="2"/>
        <v>6500</v>
      </c>
      <c r="K9" s="7"/>
    </row>
    <row r="10" spans="2:11" x14ac:dyDescent="0.3">
      <c r="B10" s="1217" t="s">
        <v>4</v>
      </c>
      <c r="C10" s="1218"/>
      <c r="D10" s="1219"/>
      <c r="E10" s="1245">
        <f>SUM(F6:F9)</f>
        <v>37645.72</v>
      </c>
      <c r="F10" s="1246"/>
      <c r="G10" s="1245">
        <f>SUM(H6:H9)</f>
        <v>20364</v>
      </c>
      <c r="H10" s="1246"/>
      <c r="I10" s="1245">
        <f>SUM(J6:J9)</f>
        <v>21442.16</v>
      </c>
      <c r="J10" s="1247"/>
    </row>
    <row r="11" spans="2:11" x14ac:dyDescent="0.3">
      <c r="B11" s="1205" t="s">
        <v>5</v>
      </c>
      <c r="C11" s="1206"/>
      <c r="D11" s="1207"/>
      <c r="E11" s="1242">
        <v>0</v>
      </c>
      <c r="F11" s="1243"/>
      <c r="G11" s="1242">
        <v>0</v>
      </c>
      <c r="H11" s="1243"/>
      <c r="I11" s="1242">
        <v>0</v>
      </c>
      <c r="J11" s="1244"/>
    </row>
    <row r="12" spans="2:11" x14ac:dyDescent="0.3">
      <c r="B12" s="1208" t="s">
        <v>2</v>
      </c>
      <c r="C12" s="1209"/>
      <c r="D12" s="1210"/>
      <c r="E12" s="1242">
        <f>(E10-E11)*15%</f>
        <v>5646.8580000000002</v>
      </c>
      <c r="F12" s="1243"/>
      <c r="G12" s="1242">
        <f>(G10-G11)*15%</f>
        <v>3054.6</v>
      </c>
      <c r="H12" s="1243"/>
      <c r="I12" s="1242">
        <f>(I10-I11)*15%</f>
        <v>3216.3240000000001</v>
      </c>
      <c r="J12" s="1244"/>
    </row>
    <row r="13" spans="2:11" ht="18" thickBot="1" x14ac:dyDescent="0.35">
      <c r="B13" s="1202" t="s">
        <v>3</v>
      </c>
      <c r="C13" s="1203"/>
      <c r="D13" s="1204"/>
      <c r="E13" s="1253">
        <f>(E10-E11)+E12</f>
        <v>43292.578000000001</v>
      </c>
      <c r="F13" s="1254"/>
      <c r="G13" s="1253">
        <f>(G10-G11)+G12</f>
        <v>23418.6</v>
      </c>
      <c r="H13" s="1254"/>
      <c r="I13" s="1253">
        <f>(I10-I11)+I12</f>
        <v>24658.484</v>
      </c>
      <c r="J13" s="1255"/>
    </row>
    <row r="15" spans="2:11" x14ac:dyDescent="0.3">
      <c r="F15" s="4"/>
      <c r="G15" s="4"/>
      <c r="H15" s="4"/>
      <c r="J15" s="4"/>
    </row>
  </sheetData>
  <mergeCells count="21">
    <mergeCell ref="B10:D10"/>
    <mergeCell ref="E10:F10"/>
    <mergeCell ref="G10:H10"/>
    <mergeCell ref="I10:J10"/>
    <mergeCell ref="B3:J3"/>
    <mergeCell ref="B4:B5"/>
    <mergeCell ref="E4:F4"/>
    <mergeCell ref="G4:H4"/>
    <mergeCell ref="I4:J4"/>
    <mergeCell ref="B13:D13"/>
    <mergeCell ref="E13:F13"/>
    <mergeCell ref="G13:H13"/>
    <mergeCell ref="I13:J13"/>
    <mergeCell ref="B11:D11"/>
    <mergeCell ref="E11:F11"/>
    <mergeCell ref="G11:H11"/>
    <mergeCell ref="I11:J11"/>
    <mergeCell ref="B12:D12"/>
    <mergeCell ref="E12:F12"/>
    <mergeCell ref="G12:H12"/>
    <mergeCell ref="I12:J12"/>
  </mergeCells>
  <conditionalFormatting sqref="F6:F9 H6:H7 J6:J9 H9">
    <cfRule type="expression" dxfId="316" priority="5">
      <formula>E6=""</formula>
    </cfRule>
    <cfRule type="expression" dxfId="315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EA1BC-AAA7-4611-9EB7-3D69F8B5C0EB}">
  <sheetPr codeName="Hoja6"/>
  <dimension ref="C2:H12"/>
  <sheetViews>
    <sheetView showGridLines="0" workbookViewId="0">
      <selection activeCell="F4" sqref="F4"/>
    </sheetView>
  </sheetViews>
  <sheetFormatPr baseColWidth="10" defaultRowHeight="17.25" x14ac:dyDescent="0.3"/>
  <cols>
    <col min="1" max="1" width="11.42578125" style="1"/>
    <col min="2" max="2" width="2.7109375" style="1" bestFit="1" customWidth="1"/>
    <col min="3" max="3" width="3.42578125" style="1" bestFit="1" customWidth="1"/>
    <col min="4" max="4" width="6.7109375" style="1" bestFit="1" customWidth="1"/>
    <col min="5" max="5" width="20.85546875" style="1" bestFit="1" customWidth="1"/>
    <col min="6" max="7" width="14.140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3:8" ht="18" thickBot="1" x14ac:dyDescent="0.35"/>
    <row r="3" spans="3:8" s="2" customFormat="1" ht="18" thickBot="1" x14ac:dyDescent="0.35">
      <c r="C3" s="1211" t="s">
        <v>1</v>
      </c>
      <c r="D3" s="1212"/>
      <c r="E3" s="1212"/>
      <c r="F3" s="1213"/>
      <c r="G3" s="1214"/>
      <c r="H3" s="6"/>
    </row>
    <row r="4" spans="3:8" s="2" customFormat="1" ht="18" thickBot="1" x14ac:dyDescent="0.3">
      <c r="C4" s="1215" t="s">
        <v>6</v>
      </c>
      <c r="D4" s="29" t="s">
        <v>17</v>
      </c>
      <c r="E4" s="30" t="s">
        <v>70</v>
      </c>
      <c r="F4" s="133" t="s">
        <v>53</v>
      </c>
      <c r="G4" s="134" t="s">
        <v>72</v>
      </c>
      <c r="H4" s="6"/>
    </row>
    <row r="5" spans="3:8" s="2" customFormat="1" ht="18" thickBot="1" x14ac:dyDescent="0.3">
      <c r="C5" s="1216"/>
      <c r="D5" s="33" t="s">
        <v>11</v>
      </c>
      <c r="E5" s="21" t="s">
        <v>0</v>
      </c>
      <c r="F5" s="31" t="s">
        <v>14</v>
      </c>
      <c r="G5" s="132" t="s">
        <v>14</v>
      </c>
      <c r="H5" s="6"/>
    </row>
    <row r="6" spans="3:8" s="3" customFormat="1" ht="18" thickBot="1" x14ac:dyDescent="0.35">
      <c r="C6" s="19">
        <v>1</v>
      </c>
      <c r="D6" s="16">
        <v>1</v>
      </c>
      <c r="E6" s="9" t="s">
        <v>71</v>
      </c>
      <c r="F6" s="24">
        <f>(154.87+(20.57*2))*35.87</f>
        <v>7030.8786999999993</v>
      </c>
      <c r="G6" s="135">
        <v>7200</v>
      </c>
      <c r="H6" s="7"/>
    </row>
    <row r="7" spans="3:8" x14ac:dyDescent="0.3">
      <c r="C7" s="1217" t="s">
        <v>4</v>
      </c>
      <c r="D7" s="1218"/>
      <c r="E7" s="1219"/>
      <c r="F7" s="131">
        <f>F6</f>
        <v>7030.8786999999993</v>
      </c>
      <c r="G7" s="136">
        <f>+G6</f>
        <v>7200</v>
      </c>
    </row>
    <row r="8" spans="3:8" x14ac:dyDescent="0.3">
      <c r="C8" s="1205" t="s">
        <v>5</v>
      </c>
      <c r="D8" s="1206"/>
      <c r="E8" s="1207"/>
      <c r="F8" s="130">
        <f>F7*0.2</f>
        <v>1406.1757399999999</v>
      </c>
      <c r="G8" s="137">
        <v>0</v>
      </c>
    </row>
    <row r="9" spans="3:8" x14ac:dyDescent="0.3">
      <c r="C9" s="1208" t="s">
        <v>2</v>
      </c>
      <c r="D9" s="1209"/>
      <c r="E9" s="1210"/>
      <c r="F9" s="130">
        <f>(F7-F8)*15%</f>
        <v>843.70544399999994</v>
      </c>
      <c r="G9" s="137">
        <v>0</v>
      </c>
    </row>
    <row r="10" spans="3:8" ht="18" thickBot="1" x14ac:dyDescent="0.35">
      <c r="C10" s="1202" t="s">
        <v>3</v>
      </c>
      <c r="D10" s="1203"/>
      <c r="E10" s="1204"/>
      <c r="F10" s="139">
        <f>(F7-F8)+F9</f>
        <v>6468.4084039999998</v>
      </c>
      <c r="G10" s="138">
        <f>(G7-G8)+G9</f>
        <v>7200</v>
      </c>
    </row>
    <row r="12" spans="3:8" x14ac:dyDescent="0.3">
      <c r="G12" s="4"/>
    </row>
  </sheetData>
  <mergeCells count="6">
    <mergeCell ref="C10:E10"/>
    <mergeCell ref="C8:E8"/>
    <mergeCell ref="C9:E9"/>
    <mergeCell ref="C3:G3"/>
    <mergeCell ref="C4:C5"/>
    <mergeCell ref="C7:E7"/>
  </mergeCells>
  <pageMargins left="0.25" right="0.25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C29A3-E80C-4108-9CCC-AE670E173284}">
  <sheetPr codeName="Hoja60"/>
  <dimension ref="B2:H11"/>
  <sheetViews>
    <sheetView showGridLines="0" workbookViewId="0"/>
  </sheetViews>
  <sheetFormatPr baseColWidth="10" defaultRowHeight="15.75" x14ac:dyDescent="0.25"/>
  <cols>
    <col min="1" max="1" width="11.42578125" style="34"/>
    <col min="2" max="2" width="3" style="34" bestFit="1" customWidth="1"/>
    <col min="3" max="3" width="6.28515625" style="34" bestFit="1" customWidth="1"/>
    <col min="4" max="4" width="22.140625" style="34" bestFit="1" customWidth="1"/>
    <col min="5" max="5" width="12.85546875" style="34" bestFit="1" customWidth="1"/>
    <col min="6" max="6" width="13.5703125" style="34" bestFit="1" customWidth="1"/>
    <col min="7" max="7" width="14" style="34" bestFit="1" customWidth="1"/>
    <col min="8" max="8" width="13.42578125" style="35" bestFit="1" customWidth="1"/>
    <col min="9" max="9" width="13.42578125" style="34" bestFit="1" customWidth="1"/>
    <col min="10" max="16384" width="11.42578125" style="34"/>
  </cols>
  <sheetData>
    <row r="2" spans="2:8" ht="16.5" thickBot="1" x14ac:dyDescent="0.3"/>
    <row r="3" spans="2:8" ht="16.5" thickBot="1" x14ac:dyDescent="0.3">
      <c r="B3" s="1100" t="s">
        <v>1</v>
      </c>
      <c r="C3" s="1350"/>
      <c r="D3" s="1350"/>
      <c r="E3" s="1101"/>
      <c r="F3" s="1101"/>
      <c r="G3" s="1102"/>
    </row>
    <row r="4" spans="2:8" ht="16.5" thickBot="1" x14ac:dyDescent="0.3">
      <c r="B4" s="1182" t="s">
        <v>6</v>
      </c>
      <c r="C4" s="110" t="s">
        <v>17</v>
      </c>
      <c r="D4" s="111" t="s">
        <v>301</v>
      </c>
      <c r="E4" s="600" t="s">
        <v>403</v>
      </c>
      <c r="F4" s="600" t="s">
        <v>404</v>
      </c>
      <c r="G4" s="600" t="s">
        <v>397</v>
      </c>
    </row>
    <row r="5" spans="2:8" ht="16.5" thickBot="1" x14ac:dyDescent="0.3">
      <c r="B5" s="1183"/>
      <c r="C5" s="112" t="s">
        <v>11</v>
      </c>
      <c r="D5" s="113" t="s">
        <v>0</v>
      </c>
      <c r="E5" s="605" t="s">
        <v>10</v>
      </c>
      <c r="F5" s="605" t="s">
        <v>10</v>
      </c>
      <c r="G5" s="116" t="s">
        <v>10</v>
      </c>
    </row>
    <row r="6" spans="2:8" s="346" customFormat="1" ht="16.5" thickBot="1" x14ac:dyDescent="0.3">
      <c r="B6" s="613">
        <v>1</v>
      </c>
      <c r="C6" s="614">
        <v>1</v>
      </c>
      <c r="D6" s="615" t="s">
        <v>396</v>
      </c>
      <c r="E6" s="596">
        <v>4088.68</v>
      </c>
      <c r="F6" s="596">
        <f>5170+200</f>
        <v>5370</v>
      </c>
      <c r="G6" s="597">
        <v>10946.1</v>
      </c>
      <c r="H6" s="345"/>
    </row>
    <row r="7" spans="2:8" x14ac:dyDescent="0.25">
      <c r="B7" s="1094" t="s">
        <v>5</v>
      </c>
      <c r="C7" s="1095"/>
      <c r="D7" s="1095"/>
      <c r="E7" s="616">
        <v>0.1</v>
      </c>
      <c r="F7" s="606">
        <v>0</v>
      </c>
      <c r="G7" s="602">
        <v>0</v>
      </c>
    </row>
    <row r="8" spans="2:8" x14ac:dyDescent="0.25">
      <c r="B8" s="1096" t="s">
        <v>2</v>
      </c>
      <c r="C8" s="1097"/>
      <c r="D8" s="1097"/>
      <c r="E8" s="604">
        <f>E6*0.15</f>
        <v>613.30199999999991</v>
      </c>
      <c r="F8" s="604">
        <f>F6*0.15</f>
        <v>805.5</v>
      </c>
      <c r="G8" s="603">
        <f>G6*0.15</f>
        <v>1641.915</v>
      </c>
    </row>
    <row r="9" spans="2:8" ht="16.5" thickBot="1" x14ac:dyDescent="0.3">
      <c r="B9" s="1098" t="s">
        <v>3</v>
      </c>
      <c r="C9" s="1099"/>
      <c r="D9" s="1099"/>
      <c r="E9" s="608">
        <f>E6+E8</f>
        <v>4701.982</v>
      </c>
      <c r="F9" s="608">
        <f>F6+F8</f>
        <v>6175.5</v>
      </c>
      <c r="G9" s="607">
        <f>+G8+G6</f>
        <v>12588.014999999999</v>
      </c>
    </row>
    <row r="11" spans="2:8" x14ac:dyDescent="0.25">
      <c r="E11" s="40"/>
      <c r="F11" s="40"/>
      <c r="G11" s="40"/>
    </row>
  </sheetData>
  <mergeCells count="5">
    <mergeCell ref="B9:D9"/>
    <mergeCell ref="B7:D7"/>
    <mergeCell ref="B8:D8"/>
    <mergeCell ref="B3:G3"/>
    <mergeCell ref="B4:B5"/>
  </mergeCells>
  <conditionalFormatting sqref="E6:G6">
    <cfRule type="expression" dxfId="314" priority="182">
      <formula>#REF!=""</formula>
    </cfRule>
    <cfRule type="expression" dxfId="313" priority="183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1BF3A1-350D-4167-AE0A-BD2035F0883C}">
  <sheetPr codeName="Hoja61"/>
  <dimension ref="A2:J16"/>
  <sheetViews>
    <sheetView showGridLines="0" workbookViewId="0">
      <selection activeCell="M13" sqref="M13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6.140625" style="367" bestFit="1" customWidth="1"/>
    <col min="4" max="5" width="11.7109375" style="367" bestFit="1" customWidth="1"/>
    <col min="6" max="6" width="10.140625" style="367" bestFit="1" customWidth="1"/>
    <col min="7" max="9" width="11.7109375" style="367" bestFit="1" customWidth="1"/>
    <col min="10" max="10" width="13.42578125" style="366" bestFit="1" customWidth="1"/>
    <col min="11" max="11" width="13.42578125" style="367" bestFit="1" customWidth="1"/>
    <col min="12" max="16384" width="11.42578125" style="367"/>
  </cols>
  <sheetData>
    <row r="2" spans="1:10" ht="15.75" thickBot="1" x14ac:dyDescent="0.3"/>
    <row r="3" spans="1:10" s="53" customFormat="1" ht="15.75" thickBot="1" x14ac:dyDescent="0.3">
      <c r="A3" s="1359" t="s">
        <v>1</v>
      </c>
      <c r="B3" s="1360"/>
      <c r="C3" s="1360"/>
      <c r="D3" s="1361"/>
      <c r="E3" s="1361"/>
      <c r="F3" s="1361"/>
      <c r="G3" s="1361"/>
      <c r="H3" s="1361"/>
      <c r="I3" s="1362"/>
      <c r="J3" s="54"/>
    </row>
    <row r="4" spans="1:10" s="53" customFormat="1" ht="15.75" thickBot="1" x14ac:dyDescent="0.3">
      <c r="A4" s="1129" t="s">
        <v>6</v>
      </c>
      <c r="B4" s="55" t="s">
        <v>17</v>
      </c>
      <c r="C4" s="56" t="s">
        <v>398</v>
      </c>
      <c r="D4" s="1131" t="s">
        <v>360</v>
      </c>
      <c r="E4" s="1116"/>
      <c r="F4" s="1115" t="s">
        <v>49</v>
      </c>
      <c r="G4" s="1116"/>
      <c r="H4" s="1115" t="s">
        <v>402</v>
      </c>
      <c r="I4" s="1116"/>
      <c r="J4" s="54"/>
    </row>
    <row r="5" spans="1:10" s="53" customFormat="1" ht="15.75" thickBot="1" x14ac:dyDescent="0.3">
      <c r="A5" s="1130"/>
      <c r="B5" s="57" t="s">
        <v>11</v>
      </c>
      <c r="C5" s="58" t="s">
        <v>0</v>
      </c>
      <c r="D5" s="59" t="s">
        <v>14</v>
      </c>
      <c r="E5" s="601" t="s">
        <v>10</v>
      </c>
      <c r="F5" s="59" t="s">
        <v>14</v>
      </c>
      <c r="G5" s="601" t="s">
        <v>10</v>
      </c>
      <c r="H5" s="59" t="s">
        <v>14</v>
      </c>
      <c r="I5" s="61" t="s">
        <v>10</v>
      </c>
      <c r="J5" s="54"/>
    </row>
    <row r="6" spans="1:10" s="362" customFormat="1" x14ac:dyDescent="0.25">
      <c r="A6" s="62">
        <v>1</v>
      </c>
      <c r="B6" s="356">
        <v>1</v>
      </c>
      <c r="C6" s="357" t="s">
        <v>76</v>
      </c>
      <c r="D6" s="358">
        <f>2310.39-(2310.39*0.25)</f>
        <v>1732.7925</v>
      </c>
      <c r="E6" s="359">
        <f>+D6*$B6</f>
        <v>1732.7925</v>
      </c>
      <c r="F6" s="358">
        <v>619.49</v>
      </c>
      <c r="G6" s="359">
        <f>+F6*$B6</f>
        <v>619.49</v>
      </c>
      <c r="H6" s="358">
        <v>4344.6099999999997</v>
      </c>
      <c r="I6" s="360">
        <f>+H6*$B6</f>
        <v>4344.6099999999997</v>
      </c>
      <c r="J6" s="361"/>
    </row>
    <row r="7" spans="1:10" s="362" customFormat="1" x14ac:dyDescent="0.25">
      <c r="A7" s="70">
        <v>2</v>
      </c>
      <c r="B7" s="363">
        <v>1</v>
      </c>
      <c r="C7" s="364" t="s">
        <v>399</v>
      </c>
      <c r="D7" s="358">
        <f>696.02-(696.02*0.25)</f>
        <v>522.01499999999999</v>
      </c>
      <c r="E7" s="359">
        <f>+D7*$B7</f>
        <v>522.01499999999999</v>
      </c>
      <c r="F7" s="365">
        <v>252.34</v>
      </c>
      <c r="G7" s="359">
        <f>+F7*$B7</f>
        <v>252.34</v>
      </c>
      <c r="H7" s="365">
        <v>592.79</v>
      </c>
      <c r="I7" s="360">
        <f>+H7*$B7</f>
        <v>592.79</v>
      </c>
      <c r="J7" s="361"/>
    </row>
    <row r="8" spans="1:10" s="362" customFormat="1" x14ac:dyDescent="0.25">
      <c r="A8" s="70">
        <v>3</v>
      </c>
      <c r="B8" s="363">
        <v>1</v>
      </c>
      <c r="C8" s="364" t="s">
        <v>400</v>
      </c>
      <c r="D8" s="358">
        <f>769.62-(769.62*0.25)</f>
        <v>577.21500000000003</v>
      </c>
      <c r="E8" s="359">
        <f>+D8*$B8</f>
        <v>577.21500000000003</v>
      </c>
      <c r="F8" s="365">
        <v>327.93</v>
      </c>
      <c r="G8" s="359">
        <f>+F8*$B8</f>
        <v>327.93</v>
      </c>
      <c r="H8" s="365">
        <v>638.78</v>
      </c>
      <c r="I8" s="360">
        <f>+H8*$B8</f>
        <v>638.78</v>
      </c>
      <c r="J8" s="361"/>
    </row>
    <row r="9" spans="1:10" s="362" customFormat="1" ht="15.75" thickBot="1" x14ac:dyDescent="0.3">
      <c r="A9" s="70">
        <v>4</v>
      </c>
      <c r="B9" s="363">
        <v>9</v>
      </c>
      <c r="C9" s="364" t="s">
        <v>401</v>
      </c>
      <c r="D9" s="358" t="s">
        <v>36</v>
      </c>
      <c r="E9" s="359" t="s">
        <v>36</v>
      </c>
      <c r="F9" s="365">
        <f>1381.03/B9</f>
        <v>153.44777777777779</v>
      </c>
      <c r="G9" s="359">
        <f>+F9*$B9</f>
        <v>1381.0300000000002</v>
      </c>
      <c r="H9" s="365">
        <f>(1093.04+632.82)/B9</f>
        <v>191.76222222222225</v>
      </c>
      <c r="I9" s="360">
        <f>+H9*$B9</f>
        <v>1725.8600000000001</v>
      </c>
      <c r="J9" s="361"/>
    </row>
    <row r="10" spans="1:10" x14ac:dyDescent="0.25">
      <c r="A10" s="1132" t="s">
        <v>4</v>
      </c>
      <c r="B10" s="1133"/>
      <c r="C10" s="1134"/>
      <c r="D10" s="1117">
        <f>SUM(E6:E9)</f>
        <v>2832.0225</v>
      </c>
      <c r="E10" s="1118"/>
      <c r="F10" s="1117">
        <f>SUM(G6:G9)</f>
        <v>2580.79</v>
      </c>
      <c r="G10" s="1118"/>
      <c r="H10" s="1117">
        <f>SUM(I6:I9)</f>
        <v>7302.0399999999991</v>
      </c>
      <c r="I10" s="1135"/>
    </row>
    <row r="11" spans="1:10" x14ac:dyDescent="0.25">
      <c r="A11" s="1123" t="s">
        <v>5</v>
      </c>
      <c r="B11" s="1124"/>
      <c r="C11" s="1125"/>
      <c r="D11" s="1119">
        <v>0</v>
      </c>
      <c r="E11" s="1120"/>
      <c r="F11" s="1119">
        <v>0</v>
      </c>
      <c r="G11" s="1120"/>
      <c r="H11" s="1119">
        <v>0</v>
      </c>
      <c r="I11" s="1126"/>
    </row>
    <row r="12" spans="1:10" x14ac:dyDescent="0.25">
      <c r="A12" s="1369" t="s">
        <v>2</v>
      </c>
      <c r="B12" s="1370"/>
      <c r="C12" s="1371"/>
      <c r="D12" s="1119">
        <f>(D10-D11)*15%</f>
        <v>424.80337500000002</v>
      </c>
      <c r="E12" s="1120"/>
      <c r="F12" s="1119">
        <f>(F10-F11)*15%</f>
        <v>387.11849999999998</v>
      </c>
      <c r="G12" s="1120"/>
      <c r="H12" s="1119">
        <f>(H10-H11)*15%</f>
        <v>1095.3059999999998</v>
      </c>
      <c r="I12" s="1126"/>
    </row>
    <row r="13" spans="1:10" ht="15.75" thickBot="1" x14ac:dyDescent="0.3">
      <c r="A13" s="1363" t="s">
        <v>3</v>
      </c>
      <c r="B13" s="1364"/>
      <c r="C13" s="1365"/>
      <c r="D13" s="1366">
        <f>(D10-D11)+D12</f>
        <v>3256.825875</v>
      </c>
      <c r="E13" s="1367"/>
      <c r="F13" s="1366">
        <f>(F10-F11)+F12</f>
        <v>2967.9085</v>
      </c>
      <c r="G13" s="1367"/>
      <c r="H13" s="1366">
        <f>(H10-H11)+H12</f>
        <v>8397.3459999999995</v>
      </c>
      <c r="I13" s="1368"/>
    </row>
    <row r="15" spans="1:10" x14ac:dyDescent="0.25">
      <c r="E15" s="368"/>
      <c r="F15" s="368"/>
      <c r="G15" s="368"/>
      <c r="I15" s="368"/>
    </row>
    <row r="16" spans="1:10" x14ac:dyDescent="0.25">
      <c r="E16" s="612"/>
    </row>
  </sheetData>
  <mergeCells count="21">
    <mergeCell ref="A13:C13"/>
    <mergeCell ref="D13:E13"/>
    <mergeCell ref="F13:G13"/>
    <mergeCell ref="H13:I13"/>
    <mergeCell ref="A11:C11"/>
    <mergeCell ref="D11:E11"/>
    <mergeCell ref="F11:G11"/>
    <mergeCell ref="H11:I11"/>
    <mergeCell ref="A12:C12"/>
    <mergeCell ref="D12:E12"/>
    <mergeCell ref="F12:G12"/>
    <mergeCell ref="H12:I12"/>
    <mergeCell ref="A10:C10"/>
    <mergeCell ref="D10:E10"/>
    <mergeCell ref="F10:G10"/>
    <mergeCell ref="H10:I10"/>
    <mergeCell ref="A3:I3"/>
    <mergeCell ref="A4:A5"/>
    <mergeCell ref="D4:E4"/>
    <mergeCell ref="F4:G4"/>
    <mergeCell ref="H4:I4"/>
  </mergeCells>
  <conditionalFormatting sqref="E6:E9 I6:I9 G6:G9">
    <cfRule type="expression" dxfId="312" priority="5">
      <formula>D6=""</formula>
    </cfRule>
    <cfRule type="expression" dxfId="311" priority="6">
      <formula>D6=MIN($D6,$F6,$H6)</formula>
    </cfRule>
  </conditionalFormatting>
  <pageMargins left="0.25" right="0.25" top="0.75" bottom="0.75" header="0.3" footer="0.3"/>
  <pageSetup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E9AC7-A56B-4293-B46B-AA41899B8B75}">
  <sheetPr codeName="Hoja62"/>
  <dimension ref="B2:K17"/>
  <sheetViews>
    <sheetView showGridLines="0" workbookViewId="0">
      <selection activeCell="B18" sqref="B18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4.140625" style="1" bestFit="1" customWidth="1"/>
    <col min="6" max="6" width="15.42578125" style="1" bestFit="1" customWidth="1"/>
    <col min="7" max="10" width="14.1406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405</v>
      </c>
      <c r="E4" s="1252" t="s">
        <v>412</v>
      </c>
      <c r="F4" s="1251"/>
      <c r="G4" s="1248" t="s">
        <v>413</v>
      </c>
      <c r="H4" s="1251"/>
      <c r="I4" s="1248" t="s">
        <v>49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11" t="s">
        <v>10</v>
      </c>
      <c r="G5" s="31" t="s">
        <v>14</v>
      </c>
      <c r="H5" s="611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4</v>
      </c>
      <c r="D6" s="9" t="s">
        <v>406</v>
      </c>
      <c r="E6" s="24">
        <v>3250</v>
      </c>
      <c r="F6" s="23">
        <f>+E6*$C6</f>
        <v>13000</v>
      </c>
      <c r="G6" s="24">
        <v>980</v>
      </c>
      <c r="H6" s="23">
        <f>+G6*$C6</f>
        <v>3920</v>
      </c>
      <c r="I6" s="24">
        <f>(1002.14+1924.28+1042.47)/C6</f>
        <v>992.22250000000008</v>
      </c>
      <c r="J6" s="27">
        <f>+I6*$C6</f>
        <v>3968.8900000000003</v>
      </c>
      <c r="K6" s="7"/>
    </row>
    <row r="7" spans="2:11" s="3" customFormat="1" x14ac:dyDescent="0.3">
      <c r="B7" s="20">
        <v>2</v>
      </c>
      <c r="C7" s="17">
        <v>4</v>
      </c>
      <c r="D7" s="8" t="s">
        <v>407</v>
      </c>
      <c r="E7" s="25">
        <v>3500</v>
      </c>
      <c r="F7" s="23">
        <f t="shared" ref="F7:F10" si="0">+E7*$C7</f>
        <v>14000</v>
      </c>
      <c r="G7" s="25" t="s">
        <v>36</v>
      </c>
      <c r="H7" s="23" t="s">
        <v>36</v>
      </c>
      <c r="I7" s="24">
        <f>(2084.95+1122.49+1122.49)/C7</f>
        <v>1082.4824999999998</v>
      </c>
      <c r="J7" s="27">
        <f t="shared" ref="J7:J9" si="1">+I7*$C7</f>
        <v>4329.9299999999994</v>
      </c>
      <c r="K7" s="7"/>
    </row>
    <row r="8" spans="2:11" s="3" customFormat="1" x14ac:dyDescent="0.3">
      <c r="B8" s="20">
        <v>3</v>
      </c>
      <c r="C8" s="17">
        <v>4</v>
      </c>
      <c r="D8" s="8" t="s">
        <v>408</v>
      </c>
      <c r="E8" s="25">
        <v>1950</v>
      </c>
      <c r="F8" s="23">
        <f t="shared" si="0"/>
        <v>7800</v>
      </c>
      <c r="G8" s="25">
        <f>2000/C8</f>
        <v>500</v>
      </c>
      <c r="H8" s="23">
        <f t="shared" ref="H8:H11" si="2">+G8*$C8</f>
        <v>2000</v>
      </c>
      <c r="I8" s="25">
        <f>(1349.23+1901.55)/C8</f>
        <v>812.69499999999994</v>
      </c>
      <c r="J8" s="27">
        <f t="shared" si="1"/>
        <v>3250.7799999999997</v>
      </c>
      <c r="K8" s="7"/>
    </row>
    <row r="9" spans="2:11" s="3" customFormat="1" x14ac:dyDescent="0.3">
      <c r="B9" s="20">
        <v>4</v>
      </c>
      <c r="C9" s="17">
        <v>4</v>
      </c>
      <c r="D9" s="8" t="s">
        <v>409</v>
      </c>
      <c r="E9" s="25">
        <v>2250</v>
      </c>
      <c r="F9" s="23">
        <f t="shared" si="0"/>
        <v>9000</v>
      </c>
      <c r="G9" s="25">
        <f>4200/C9</f>
        <v>1050</v>
      </c>
      <c r="H9" s="23">
        <f t="shared" si="2"/>
        <v>4200</v>
      </c>
      <c r="I9" s="25">
        <f>(3071.81+4022.9)/C9</f>
        <v>1773.6775</v>
      </c>
      <c r="J9" s="27">
        <f t="shared" si="1"/>
        <v>7094.71</v>
      </c>
      <c r="K9" s="7"/>
    </row>
    <row r="10" spans="2:11" s="3" customFormat="1" x14ac:dyDescent="0.3">
      <c r="B10" s="22">
        <v>5</v>
      </c>
      <c r="C10" s="18">
        <v>2</v>
      </c>
      <c r="D10" s="10" t="s">
        <v>410</v>
      </c>
      <c r="E10" s="622">
        <f>1200/C10</f>
        <v>600</v>
      </c>
      <c r="F10" s="23">
        <f t="shared" si="0"/>
        <v>1200</v>
      </c>
      <c r="G10" s="622">
        <v>200</v>
      </c>
      <c r="H10" s="23">
        <f t="shared" si="2"/>
        <v>400</v>
      </c>
      <c r="I10" s="622" t="s">
        <v>36</v>
      </c>
      <c r="J10" s="27" t="s">
        <v>36</v>
      </c>
      <c r="K10" s="7"/>
    </row>
    <row r="11" spans="2:11" s="3" customFormat="1" ht="18" thickBot="1" x14ac:dyDescent="0.35">
      <c r="B11" s="22">
        <v>6</v>
      </c>
      <c r="C11" s="18">
        <v>2</v>
      </c>
      <c r="D11" s="10" t="s">
        <v>411</v>
      </c>
      <c r="E11" s="26">
        <f>1200/C11</f>
        <v>600</v>
      </c>
      <c r="F11" s="23">
        <f>+E11*$C11</f>
        <v>1200</v>
      </c>
      <c r="G11" s="26">
        <v>320</v>
      </c>
      <c r="H11" s="23">
        <f t="shared" si="2"/>
        <v>640</v>
      </c>
      <c r="I11" s="26" t="s">
        <v>36</v>
      </c>
      <c r="J11" s="27" t="s">
        <v>36</v>
      </c>
      <c r="K11" s="7"/>
    </row>
    <row r="12" spans="2:11" x14ac:dyDescent="0.3">
      <c r="B12" s="1217" t="s">
        <v>4</v>
      </c>
      <c r="C12" s="1218"/>
      <c r="D12" s="1219"/>
      <c r="E12" s="1245">
        <f>SUM(F6:F11)</f>
        <v>46200</v>
      </c>
      <c r="F12" s="1246"/>
      <c r="G12" s="1245">
        <f>SUM(H6:H11)</f>
        <v>11160</v>
      </c>
      <c r="H12" s="1246"/>
      <c r="I12" s="1245">
        <f>SUM(J6:J11)</f>
        <v>18644.309999999998</v>
      </c>
      <c r="J12" s="1247"/>
    </row>
    <row r="13" spans="2:11" x14ac:dyDescent="0.3">
      <c r="B13" s="1205" t="s">
        <v>5</v>
      </c>
      <c r="C13" s="1206"/>
      <c r="D13" s="1207"/>
      <c r="E13" s="1242">
        <v>700</v>
      </c>
      <c r="F13" s="1243"/>
      <c r="G13" s="1242">
        <v>0</v>
      </c>
      <c r="H13" s="1243"/>
      <c r="I13" s="1242">
        <v>0</v>
      </c>
      <c r="J13" s="1244"/>
    </row>
    <row r="14" spans="2:11" x14ac:dyDescent="0.3">
      <c r="B14" s="1208" t="s">
        <v>2</v>
      </c>
      <c r="C14" s="1209"/>
      <c r="D14" s="1210"/>
      <c r="E14" s="1242">
        <f>(E12-E13)*15%</f>
        <v>6825</v>
      </c>
      <c r="F14" s="1243"/>
      <c r="G14" s="1242">
        <f>(G12-G13)*15%</f>
        <v>1674</v>
      </c>
      <c r="H14" s="1243"/>
      <c r="I14" s="1242">
        <f>(I12-I13)*15%</f>
        <v>2796.6464999999994</v>
      </c>
      <c r="J14" s="1244"/>
    </row>
    <row r="15" spans="2:11" ht="18" thickBot="1" x14ac:dyDescent="0.35">
      <c r="B15" s="1202" t="s">
        <v>3</v>
      </c>
      <c r="C15" s="1203"/>
      <c r="D15" s="1204"/>
      <c r="E15" s="1253">
        <f>(E12-E13)+E14</f>
        <v>52325</v>
      </c>
      <c r="F15" s="1254"/>
      <c r="G15" s="1253">
        <f>(G12-G13)+G14</f>
        <v>12834</v>
      </c>
      <c r="H15" s="1254"/>
      <c r="I15" s="1253">
        <f>(I12-I13)+I14</f>
        <v>21440.956499999997</v>
      </c>
      <c r="J15" s="1255"/>
    </row>
    <row r="17" spans="2:10" x14ac:dyDescent="0.3">
      <c r="B17" s="225" t="s">
        <v>418</v>
      </c>
      <c r="F17" s="4"/>
      <c r="G17" s="4"/>
      <c r="H17" s="4"/>
      <c r="J17" s="4"/>
    </row>
  </sheetData>
  <mergeCells count="21">
    <mergeCell ref="B12:D12"/>
    <mergeCell ref="E12:F12"/>
    <mergeCell ref="G12:H12"/>
    <mergeCell ref="I12:J12"/>
    <mergeCell ref="B3:J3"/>
    <mergeCell ref="B4:B5"/>
    <mergeCell ref="E4:F4"/>
    <mergeCell ref="G4:H4"/>
    <mergeCell ref="I4:J4"/>
    <mergeCell ref="B15:D15"/>
    <mergeCell ref="E15:F15"/>
    <mergeCell ref="G15:H15"/>
    <mergeCell ref="I15:J15"/>
    <mergeCell ref="B13:D13"/>
    <mergeCell ref="E13:F13"/>
    <mergeCell ref="G13:H13"/>
    <mergeCell ref="I13:J13"/>
    <mergeCell ref="B14:D14"/>
    <mergeCell ref="E14:F14"/>
    <mergeCell ref="G14:H14"/>
    <mergeCell ref="I14:J14"/>
  </mergeCells>
  <conditionalFormatting sqref="F6:F11">
    <cfRule type="expression" dxfId="310" priority="5">
      <formula>E6=""</formula>
    </cfRule>
    <cfRule type="expression" dxfId="309" priority="6">
      <formula>E6=MIN($E6,$G6,$I6)</formula>
    </cfRule>
  </conditionalFormatting>
  <conditionalFormatting sqref="H6:H11">
    <cfRule type="expression" dxfId="308" priority="3">
      <formula>G6=""</formula>
    </cfRule>
    <cfRule type="expression" dxfId="307" priority="4">
      <formula>G6=MIN($E6,$G6,$I6)</formula>
    </cfRule>
  </conditionalFormatting>
  <conditionalFormatting sqref="J6:J11">
    <cfRule type="expression" dxfId="306" priority="1">
      <formula>I6=""</formula>
    </cfRule>
    <cfRule type="expression" dxfId="305" priority="2">
      <formula>I6=MIN($E6,$G6,$I6)</formula>
    </cfRule>
  </conditionalFormatting>
  <pageMargins left="0.25" right="0.25" top="0.75" bottom="0.75" header="0.3" footer="0.3"/>
  <pageSetup orientation="landscape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F1B6A-7301-4B03-BD46-1EDF76F90AA7}">
  <sheetPr codeName="Hoja63"/>
  <dimension ref="B2:I13"/>
  <sheetViews>
    <sheetView showGridLines="0" workbookViewId="0">
      <selection activeCell="D6" sqref="D6"/>
    </sheetView>
  </sheetViews>
  <sheetFormatPr baseColWidth="10" defaultRowHeight="15.75" x14ac:dyDescent="0.25"/>
  <cols>
    <col min="1" max="1" width="11.42578125" style="108"/>
    <col min="2" max="2" width="3" style="108" bestFit="1" customWidth="1"/>
    <col min="3" max="3" width="6.28515625" style="108" bestFit="1" customWidth="1"/>
    <col min="4" max="4" width="19.28515625" style="108" bestFit="1" customWidth="1"/>
    <col min="5" max="8" width="12.85546875" style="108" bestFit="1" customWidth="1"/>
    <col min="9" max="9" width="13.42578125" style="109" bestFit="1" customWidth="1"/>
    <col min="10" max="10" width="13.42578125" style="108" bestFit="1" customWidth="1"/>
    <col min="11" max="16384" width="11.42578125" style="108"/>
  </cols>
  <sheetData>
    <row r="2" spans="2:9" ht="16.5" thickBot="1" x14ac:dyDescent="0.3"/>
    <row r="3" spans="2:9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1"/>
      <c r="I3" s="35"/>
    </row>
    <row r="4" spans="2:9" s="34" customFormat="1" ht="16.5" thickBot="1" x14ac:dyDescent="0.3">
      <c r="B4" s="1182" t="s">
        <v>6</v>
      </c>
      <c r="C4" s="110" t="s">
        <v>17</v>
      </c>
      <c r="D4" s="111" t="s">
        <v>414</v>
      </c>
      <c r="E4" s="1184" t="s">
        <v>412</v>
      </c>
      <c r="F4" s="1102"/>
      <c r="G4" s="1100" t="s">
        <v>49</v>
      </c>
      <c r="H4" s="1102"/>
      <c r="I4" s="35"/>
    </row>
    <row r="5" spans="2:9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610" t="s">
        <v>10</v>
      </c>
      <c r="G5" s="114" t="s">
        <v>14</v>
      </c>
      <c r="H5" s="116" t="s">
        <v>10</v>
      </c>
      <c r="I5" s="35"/>
    </row>
    <row r="6" spans="2:9" s="124" customFormat="1" x14ac:dyDescent="0.25">
      <c r="B6" s="117">
        <v>1</v>
      </c>
      <c r="C6" s="118">
        <v>2</v>
      </c>
      <c r="D6" s="119" t="s">
        <v>415</v>
      </c>
      <c r="E6" s="120">
        <v>1800</v>
      </c>
      <c r="F6" s="121">
        <f>+E6*$C6</f>
        <v>3600</v>
      </c>
      <c r="G6" s="120">
        <f>2460.18/C6</f>
        <v>1230.0899999999999</v>
      </c>
      <c r="H6" s="122">
        <f>+G6*$C6</f>
        <v>2460.1799999999998</v>
      </c>
      <c r="I6" s="123"/>
    </row>
    <row r="7" spans="2:9" s="124" customFormat="1" ht="16.5" thickBot="1" x14ac:dyDescent="0.3">
      <c r="B7" s="125">
        <v>2</v>
      </c>
      <c r="C7" s="126">
        <v>2</v>
      </c>
      <c r="D7" s="127" t="s">
        <v>416</v>
      </c>
      <c r="E7" s="128">
        <f>1200/C7</f>
        <v>600</v>
      </c>
      <c r="F7" s="121">
        <f>+E7*$C7</f>
        <v>1200</v>
      </c>
      <c r="G7" s="120">
        <f>683.42/C7</f>
        <v>341.71</v>
      </c>
      <c r="H7" s="122">
        <f>+G7*$C7</f>
        <v>683.42</v>
      </c>
    </row>
    <row r="8" spans="2:9" x14ac:dyDescent="0.25">
      <c r="B8" s="1094" t="s">
        <v>4</v>
      </c>
      <c r="C8" s="1095"/>
      <c r="D8" s="1185"/>
      <c r="E8" s="1186">
        <f>SUM(F6:F7)</f>
        <v>4800</v>
      </c>
      <c r="F8" s="1187"/>
      <c r="G8" s="1186">
        <f>SUM(H6:H7)</f>
        <v>3143.6</v>
      </c>
      <c r="H8" s="1188"/>
    </row>
    <row r="9" spans="2:9" x14ac:dyDescent="0.25">
      <c r="B9" s="1096" t="s">
        <v>5</v>
      </c>
      <c r="C9" s="1097"/>
      <c r="D9" s="1195"/>
      <c r="E9" s="1176">
        <v>0</v>
      </c>
      <c r="F9" s="1196"/>
      <c r="G9" s="1176">
        <v>0</v>
      </c>
      <c r="H9" s="1177"/>
    </row>
    <row r="10" spans="2:9" x14ac:dyDescent="0.25">
      <c r="B10" s="1199" t="s">
        <v>2</v>
      </c>
      <c r="C10" s="1200"/>
      <c r="D10" s="1201"/>
      <c r="E10" s="1176">
        <f>(E8-E9)*15%</f>
        <v>720</v>
      </c>
      <c r="F10" s="1196"/>
      <c r="G10" s="1176">
        <f>(G8-G9)*15%</f>
        <v>471.53999999999996</v>
      </c>
      <c r="H10" s="1177"/>
    </row>
    <row r="11" spans="2:9" ht="16.5" thickBot="1" x14ac:dyDescent="0.3">
      <c r="B11" s="1189" t="s">
        <v>3</v>
      </c>
      <c r="C11" s="1190"/>
      <c r="D11" s="1191"/>
      <c r="E11" s="1192">
        <f>(E8-E9)+E10</f>
        <v>5520</v>
      </c>
      <c r="F11" s="1193"/>
      <c r="G11" s="1192">
        <f>(G8-G9)+G10</f>
        <v>3615.14</v>
      </c>
      <c r="H11" s="1194"/>
    </row>
    <row r="13" spans="2:9" s="109" customFormat="1" x14ac:dyDescent="0.25">
      <c r="B13" s="108"/>
      <c r="C13" s="108"/>
      <c r="D13" s="108"/>
      <c r="E13" s="108"/>
      <c r="F13" s="623" t="s">
        <v>417</v>
      </c>
      <c r="H13" s="129"/>
    </row>
  </sheetData>
  <mergeCells count="16">
    <mergeCell ref="B3:H3"/>
    <mergeCell ref="B4:B5"/>
    <mergeCell ref="E4:F4"/>
    <mergeCell ref="G4:H4"/>
    <mergeCell ref="B8:D8"/>
    <mergeCell ref="E8:F8"/>
    <mergeCell ref="G8:H8"/>
    <mergeCell ref="B11:D11"/>
    <mergeCell ref="E11:F11"/>
    <mergeCell ref="G11:H11"/>
    <mergeCell ref="B9:D9"/>
    <mergeCell ref="E9:F9"/>
    <mergeCell ref="G9:H9"/>
    <mergeCell ref="B10:D10"/>
    <mergeCell ref="E10:F10"/>
    <mergeCell ref="G10:H10"/>
  </mergeCells>
  <conditionalFormatting sqref="F6:F7 H6:H7">
    <cfRule type="expression" dxfId="304" priority="184">
      <formula>E6=""</formula>
    </cfRule>
    <cfRule type="expression" dxfId="303" priority="185">
      <formula>E6=MIN($E6,#REF!,$G6)</formula>
    </cfRule>
  </conditionalFormatting>
  <pageMargins left="0.25" right="0.25" top="0.75" bottom="0.75" header="0.3" footer="0.3"/>
  <pageSetup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BB6BA-E8FC-48C8-B4C3-093984CBBF37}">
  <sheetPr codeName="Hoja64"/>
  <dimension ref="A2:P18"/>
  <sheetViews>
    <sheetView showGridLines="0" workbookViewId="0">
      <selection activeCell="C7" sqref="C7"/>
    </sheetView>
  </sheetViews>
  <sheetFormatPr baseColWidth="10" defaultRowHeight="12.75" x14ac:dyDescent="0.2"/>
  <cols>
    <col min="1" max="1" width="2.5703125" style="142" bestFit="1" customWidth="1"/>
    <col min="2" max="2" width="5.28515625" style="142" bestFit="1" customWidth="1"/>
    <col min="3" max="3" width="14.140625" style="142" bestFit="1" customWidth="1"/>
    <col min="4" max="4" width="5.28515625" style="142" bestFit="1" customWidth="1"/>
    <col min="5" max="5" width="9.5703125" style="142" bestFit="1" customWidth="1"/>
    <col min="6" max="6" width="12" style="142" bestFit="1" customWidth="1"/>
    <col min="7" max="7" width="5.28515625" style="142" bestFit="1" customWidth="1"/>
    <col min="8" max="8" width="9.5703125" style="142" bestFit="1" customWidth="1"/>
    <col min="9" max="9" width="12" style="142" bestFit="1" customWidth="1"/>
    <col min="10" max="10" width="5.28515625" style="142" bestFit="1" customWidth="1"/>
    <col min="11" max="11" width="9.5703125" style="142" bestFit="1" customWidth="1"/>
    <col min="12" max="12" width="12" style="142" bestFit="1" customWidth="1"/>
    <col min="13" max="13" width="5.28515625" style="142" bestFit="1" customWidth="1"/>
    <col min="14" max="14" width="9.5703125" style="142" bestFit="1" customWidth="1"/>
    <col min="15" max="15" width="11" style="142" bestFit="1" customWidth="1"/>
    <col min="16" max="16" width="13.42578125" style="143" bestFit="1" customWidth="1"/>
    <col min="17" max="17" width="13.42578125" style="142" bestFit="1" customWidth="1"/>
    <col min="18" max="16384" width="11.42578125" style="142"/>
  </cols>
  <sheetData>
    <row r="2" spans="1:16" ht="13.5" thickBot="1" x14ac:dyDescent="0.25"/>
    <row r="3" spans="1:16" s="73" customFormat="1" ht="13.5" thickBot="1" x14ac:dyDescent="0.25">
      <c r="A3" s="1220" t="s">
        <v>1</v>
      </c>
      <c r="B3" s="1221"/>
      <c r="C3" s="1221"/>
      <c r="D3" s="1221"/>
      <c r="E3" s="1221"/>
      <c r="F3" s="1221"/>
      <c r="G3" s="1221"/>
      <c r="H3" s="1221"/>
      <c r="I3" s="1221"/>
      <c r="J3" s="1221"/>
      <c r="K3" s="1221"/>
      <c r="L3" s="1221"/>
      <c r="M3" s="1221"/>
      <c r="N3" s="1221"/>
      <c r="O3" s="1460"/>
      <c r="P3" s="74"/>
    </row>
    <row r="4" spans="1:16" s="73" customFormat="1" ht="13.5" thickBot="1" x14ac:dyDescent="0.3">
      <c r="A4" s="1163" t="s">
        <v>6</v>
      </c>
      <c r="B4" s="97" t="s">
        <v>17</v>
      </c>
      <c r="C4" s="98" t="s">
        <v>419</v>
      </c>
      <c r="D4" s="1461" t="s">
        <v>18</v>
      </c>
      <c r="E4" s="1462"/>
      <c r="F4" s="1463"/>
      <c r="G4" s="1461" t="s">
        <v>21</v>
      </c>
      <c r="H4" s="1462"/>
      <c r="I4" s="1463"/>
      <c r="J4" s="1461" t="s">
        <v>120</v>
      </c>
      <c r="K4" s="1462"/>
      <c r="L4" s="1463"/>
      <c r="M4" s="1461" t="s">
        <v>19</v>
      </c>
      <c r="N4" s="1462"/>
      <c r="O4" s="1463"/>
      <c r="P4" s="74"/>
    </row>
    <row r="5" spans="1:16" s="73" customFormat="1" ht="13.5" thickBot="1" x14ac:dyDescent="0.3">
      <c r="A5" s="1164"/>
      <c r="B5" s="100" t="s">
        <v>11</v>
      </c>
      <c r="C5" s="101" t="s">
        <v>0</v>
      </c>
      <c r="D5" s="625" t="s">
        <v>11</v>
      </c>
      <c r="E5" s="102" t="s">
        <v>14</v>
      </c>
      <c r="F5" s="619" t="s">
        <v>10</v>
      </c>
      <c r="G5" s="625" t="s">
        <v>11</v>
      </c>
      <c r="H5" s="102" t="s">
        <v>14</v>
      </c>
      <c r="I5" s="619" t="s">
        <v>10</v>
      </c>
      <c r="J5" s="625" t="s">
        <v>11</v>
      </c>
      <c r="K5" s="102" t="s">
        <v>14</v>
      </c>
      <c r="L5" s="619" t="s">
        <v>10</v>
      </c>
      <c r="M5" s="625" t="s">
        <v>11</v>
      </c>
      <c r="N5" s="102" t="s">
        <v>14</v>
      </c>
      <c r="O5" s="104" t="s">
        <v>10</v>
      </c>
      <c r="P5" s="74"/>
    </row>
    <row r="6" spans="1:16" s="150" customFormat="1" x14ac:dyDescent="0.2">
      <c r="A6" s="80">
        <v>1</v>
      </c>
      <c r="B6" s="144">
        <v>50</v>
      </c>
      <c r="C6" s="145" t="s">
        <v>422</v>
      </c>
      <c r="D6" s="626">
        <v>50</v>
      </c>
      <c r="E6" s="146">
        <f>11.36*TC!C3</f>
        <v>405.49292800000001</v>
      </c>
      <c r="F6" s="627">
        <f>+E6*$D6</f>
        <v>20274.646400000001</v>
      </c>
      <c r="G6" s="626">
        <v>50</v>
      </c>
      <c r="H6" s="146">
        <v>293.44</v>
      </c>
      <c r="I6" s="147">
        <f>+H6*$G6</f>
        <v>14672</v>
      </c>
      <c r="J6" s="626">
        <v>15</v>
      </c>
      <c r="K6" s="146">
        <f>20.9317*TC!C3</f>
        <v>747.15284515999997</v>
      </c>
      <c r="L6" s="147">
        <f>+K6*$J6</f>
        <v>11207.292677399999</v>
      </c>
      <c r="M6" s="626">
        <v>24</v>
      </c>
      <c r="N6" s="146">
        <f>8.4471*TC!C3</f>
        <v>301.51754508000005</v>
      </c>
      <c r="O6" s="148">
        <f>+N6*$M6</f>
        <v>7236.4210819200016</v>
      </c>
      <c r="P6" s="149"/>
    </row>
    <row r="7" spans="1:16" s="150" customFormat="1" x14ac:dyDescent="0.2">
      <c r="A7" s="87">
        <v>2</v>
      </c>
      <c r="B7" s="151">
        <v>24</v>
      </c>
      <c r="C7" s="152" t="s">
        <v>420</v>
      </c>
      <c r="D7" s="628" t="s">
        <v>36</v>
      </c>
      <c r="E7" s="153" t="s">
        <v>36</v>
      </c>
      <c r="F7" s="147" t="s">
        <v>36</v>
      </c>
      <c r="G7" s="629">
        <v>11</v>
      </c>
      <c r="H7" s="153">
        <v>135.76</v>
      </c>
      <c r="I7" s="147">
        <f t="shared" ref="I7:I12" si="0">+H7*$G7</f>
        <v>1493.36</v>
      </c>
      <c r="J7" s="628">
        <v>24</v>
      </c>
      <c r="K7" s="153">
        <f>10.5589*TC!C3</f>
        <v>376.89782371999996</v>
      </c>
      <c r="L7" s="147">
        <f t="shared" ref="L7:L9" si="1">+K7*$J7</f>
        <v>9045.5477692799996</v>
      </c>
      <c r="M7" s="628" t="s">
        <v>36</v>
      </c>
      <c r="N7" s="153" t="s">
        <v>36</v>
      </c>
      <c r="O7" s="148" t="s">
        <v>36</v>
      </c>
      <c r="P7" s="149"/>
    </row>
    <row r="8" spans="1:16" s="150" customFormat="1" x14ac:dyDescent="0.2">
      <c r="A8" s="87">
        <v>3</v>
      </c>
      <c r="B8" s="151">
        <v>30</v>
      </c>
      <c r="C8" s="152" t="s">
        <v>421</v>
      </c>
      <c r="D8" s="628">
        <v>30</v>
      </c>
      <c r="E8" s="153">
        <f>0.53*TC!C3</f>
        <v>18.918244000000001</v>
      </c>
      <c r="F8" s="147">
        <f>+E8*$D8</f>
        <v>567.54732000000001</v>
      </c>
      <c r="G8" s="628">
        <v>30</v>
      </c>
      <c r="H8" s="153">
        <v>26.46</v>
      </c>
      <c r="I8" s="147">
        <f t="shared" si="0"/>
        <v>793.80000000000007</v>
      </c>
      <c r="J8" s="628">
        <f>3*12</f>
        <v>36</v>
      </c>
      <c r="K8" s="153">
        <f>(35.75/J8)*TC!C3</f>
        <v>35.446919444444447</v>
      </c>
      <c r="L8" s="147">
        <f t="shared" si="1"/>
        <v>1276.0891000000001</v>
      </c>
      <c r="M8" s="628">
        <v>30</v>
      </c>
      <c r="N8" s="153">
        <f>0.7*TC!C3</f>
        <v>24.986359999999998</v>
      </c>
      <c r="O8" s="148">
        <f>+N8*$M8</f>
        <v>749.59079999999994</v>
      </c>
      <c r="P8" s="149"/>
    </row>
    <row r="9" spans="1:16" s="150" customFormat="1" x14ac:dyDescent="0.2">
      <c r="A9" s="87">
        <v>4</v>
      </c>
      <c r="B9" s="151">
        <v>12</v>
      </c>
      <c r="C9" s="152" t="s">
        <v>423</v>
      </c>
      <c r="D9" s="628">
        <v>10</v>
      </c>
      <c r="E9" s="153">
        <f>12.53*TC!C3</f>
        <v>447.25584399999997</v>
      </c>
      <c r="F9" s="147">
        <f>+E9*D9</f>
        <v>4472.5584399999998</v>
      </c>
      <c r="G9" s="628">
        <v>12</v>
      </c>
      <c r="H9" s="153">
        <v>598.36</v>
      </c>
      <c r="I9" s="147">
        <f t="shared" si="0"/>
        <v>7180.32</v>
      </c>
      <c r="J9" s="628">
        <v>12</v>
      </c>
      <c r="K9" s="153">
        <f>8.7985*TC!C3</f>
        <v>314.06069780000001</v>
      </c>
      <c r="L9" s="147">
        <f t="shared" si="1"/>
        <v>3768.7283735999999</v>
      </c>
      <c r="M9" s="628">
        <v>12</v>
      </c>
      <c r="N9" s="153">
        <f>17.85*TC!C3</f>
        <v>637.15218000000004</v>
      </c>
      <c r="O9" s="148">
        <f>+N9*$M9</f>
        <v>7645.8261600000005</v>
      </c>
      <c r="P9" s="149"/>
    </row>
    <row r="10" spans="1:16" s="150" customFormat="1" x14ac:dyDescent="0.2">
      <c r="A10" s="87">
        <v>5</v>
      </c>
      <c r="B10" s="151">
        <v>4</v>
      </c>
      <c r="C10" s="152" t="s">
        <v>426</v>
      </c>
      <c r="D10" s="628" t="s">
        <v>36</v>
      </c>
      <c r="E10" s="153" t="s">
        <v>36</v>
      </c>
      <c r="F10" s="147" t="s">
        <v>36</v>
      </c>
      <c r="G10" s="628">
        <v>4</v>
      </c>
      <c r="H10" s="153">
        <v>247.24</v>
      </c>
      <c r="I10" s="147">
        <f t="shared" si="0"/>
        <v>988.96</v>
      </c>
      <c r="J10" s="628" t="s">
        <v>36</v>
      </c>
      <c r="K10" s="153" t="s">
        <v>36</v>
      </c>
      <c r="L10" s="147" t="s">
        <v>36</v>
      </c>
      <c r="M10" s="628">
        <v>4</v>
      </c>
      <c r="N10" s="153">
        <f>4.8*TC!C3</f>
        <v>171.33503999999999</v>
      </c>
      <c r="O10" s="148">
        <f>+N10*$M10</f>
        <v>685.34015999999997</v>
      </c>
      <c r="P10" s="149"/>
    </row>
    <row r="11" spans="1:16" s="150" customFormat="1" x14ac:dyDescent="0.2">
      <c r="A11" s="87">
        <v>6</v>
      </c>
      <c r="B11" s="151">
        <v>4</v>
      </c>
      <c r="C11" s="152" t="s">
        <v>427</v>
      </c>
      <c r="D11" s="628">
        <v>4</v>
      </c>
      <c r="E11" s="153">
        <f>6.89*TC!C3</f>
        <v>245.937172</v>
      </c>
      <c r="F11" s="147">
        <f>+E11*D11</f>
        <v>983.74868800000002</v>
      </c>
      <c r="G11" s="628">
        <v>4</v>
      </c>
      <c r="H11" s="153">
        <v>263.63</v>
      </c>
      <c r="I11" s="147">
        <f t="shared" si="0"/>
        <v>1054.52</v>
      </c>
      <c r="J11" s="628" t="s">
        <v>36</v>
      </c>
      <c r="K11" s="153" t="s">
        <v>36</v>
      </c>
      <c r="L11" s="147" t="s">
        <v>36</v>
      </c>
      <c r="M11" s="628">
        <v>4</v>
      </c>
      <c r="N11" s="153">
        <f>4.8*TC!C3</f>
        <v>171.33503999999999</v>
      </c>
      <c r="O11" s="148">
        <f>+N11*$M11</f>
        <v>685.34015999999997</v>
      </c>
      <c r="P11" s="149"/>
    </row>
    <row r="12" spans="1:16" s="150" customFormat="1" ht="13.5" thickBot="1" x14ac:dyDescent="0.25">
      <c r="A12" s="92">
        <v>7</v>
      </c>
      <c r="B12" s="630">
        <v>4</v>
      </c>
      <c r="C12" s="631" t="s">
        <v>428</v>
      </c>
      <c r="D12" s="632">
        <v>4</v>
      </c>
      <c r="E12" s="633">
        <f>6.89*TC!C3</f>
        <v>245.937172</v>
      </c>
      <c r="F12" s="147">
        <f>+E12*D12</f>
        <v>983.74868800000002</v>
      </c>
      <c r="G12" s="632">
        <v>4</v>
      </c>
      <c r="H12" s="633">
        <v>337.49</v>
      </c>
      <c r="I12" s="147">
        <f t="shared" si="0"/>
        <v>1349.96</v>
      </c>
      <c r="J12" s="632" t="s">
        <v>36</v>
      </c>
      <c r="K12" s="633" t="s">
        <v>36</v>
      </c>
      <c r="L12" s="147" t="s">
        <v>36</v>
      </c>
      <c r="M12" s="632">
        <v>4</v>
      </c>
      <c r="N12" s="633">
        <f>4.8*TC!C3</f>
        <v>171.33503999999999</v>
      </c>
      <c r="O12" s="148">
        <f>+N12*$M12</f>
        <v>685.34015999999997</v>
      </c>
      <c r="P12" s="149"/>
    </row>
    <row r="13" spans="1:16" x14ac:dyDescent="0.2">
      <c r="A13" s="1138" t="s">
        <v>4</v>
      </c>
      <c r="B13" s="1139"/>
      <c r="C13" s="1157"/>
      <c r="D13" s="634" t="s">
        <v>424</v>
      </c>
      <c r="E13" s="1158">
        <f>SUM(F6:F12)</f>
        <v>27282.249536000003</v>
      </c>
      <c r="F13" s="1159"/>
      <c r="G13" s="618"/>
      <c r="H13" s="1158">
        <f>SUM(I6:I12)</f>
        <v>27532.92</v>
      </c>
      <c r="I13" s="1159"/>
      <c r="J13" s="618"/>
      <c r="K13" s="1158">
        <f>SUM(L6:L12)</f>
        <v>25297.657920279999</v>
      </c>
      <c r="L13" s="1159"/>
      <c r="M13" s="618"/>
      <c r="N13" s="1158">
        <f>SUM(O6:O12)</f>
        <v>17687.858521920003</v>
      </c>
      <c r="O13" s="1160"/>
    </row>
    <row r="14" spans="1:16" x14ac:dyDescent="0.2">
      <c r="A14" s="1149" t="s">
        <v>5</v>
      </c>
      <c r="B14" s="1150"/>
      <c r="C14" s="1172"/>
      <c r="D14" s="635" t="s">
        <v>425</v>
      </c>
      <c r="E14" s="1173">
        <v>0</v>
      </c>
      <c r="F14" s="1174"/>
      <c r="G14" s="617"/>
      <c r="H14" s="1173">
        <v>0</v>
      </c>
      <c r="I14" s="1174"/>
      <c r="J14" s="617"/>
      <c r="K14" s="1173">
        <v>0</v>
      </c>
      <c r="L14" s="1174"/>
      <c r="M14" s="617"/>
      <c r="N14" s="1173">
        <v>0</v>
      </c>
      <c r="O14" s="1175"/>
    </row>
    <row r="15" spans="1:16" x14ac:dyDescent="0.2">
      <c r="A15" s="1224" t="s">
        <v>2</v>
      </c>
      <c r="B15" s="1225"/>
      <c r="C15" s="1226"/>
      <c r="D15" s="621"/>
      <c r="E15" s="1173">
        <f>(E13-E14)*15%</f>
        <v>4092.3374304000004</v>
      </c>
      <c r="F15" s="1174"/>
      <c r="G15" s="621"/>
      <c r="H15" s="1173">
        <f>(H13-H14)*15%</f>
        <v>4129.9379999999992</v>
      </c>
      <c r="I15" s="1174"/>
      <c r="J15" s="621"/>
      <c r="K15" s="1173">
        <f>(K13-K14)*15%</f>
        <v>3794.6486880419998</v>
      </c>
      <c r="L15" s="1174"/>
      <c r="M15" s="621"/>
      <c r="N15" s="1173">
        <f>(N13-N14)*15%</f>
        <v>2653.1787782880006</v>
      </c>
      <c r="O15" s="1175"/>
    </row>
    <row r="16" spans="1:16" ht="13.5" thickBot="1" x14ac:dyDescent="0.25">
      <c r="A16" s="1232" t="s">
        <v>3</v>
      </c>
      <c r="B16" s="1233"/>
      <c r="C16" s="1234"/>
      <c r="D16" s="620"/>
      <c r="E16" s="1230">
        <f>(E13-E14)+E15</f>
        <v>31374.586966400002</v>
      </c>
      <c r="F16" s="1235"/>
      <c r="G16" s="620"/>
      <c r="H16" s="1230">
        <f>(H13-H14)+H15</f>
        <v>31662.857999999997</v>
      </c>
      <c r="I16" s="1235"/>
      <c r="J16" s="620"/>
      <c r="K16" s="1230">
        <f>(K13-K14)+K15</f>
        <v>29092.306608321996</v>
      </c>
      <c r="L16" s="1235"/>
      <c r="M16" s="620"/>
      <c r="N16" s="1230">
        <f>(N13-N14)+N15</f>
        <v>20341.037300208005</v>
      </c>
      <c r="O16" s="1231"/>
    </row>
    <row r="18" spans="6:15" x14ac:dyDescent="0.2">
      <c r="F18" s="155"/>
      <c r="I18" s="155"/>
      <c r="L18" s="155"/>
      <c r="O18" s="155"/>
    </row>
  </sheetData>
  <mergeCells count="26">
    <mergeCell ref="K14:L14"/>
    <mergeCell ref="K15:L15"/>
    <mergeCell ref="K16:L16"/>
    <mergeCell ref="N13:O13"/>
    <mergeCell ref="N14:O14"/>
    <mergeCell ref="N15:O15"/>
    <mergeCell ref="N16:O16"/>
    <mergeCell ref="A16:C16"/>
    <mergeCell ref="E16:F16"/>
    <mergeCell ref="D4:F4"/>
    <mergeCell ref="G4:I4"/>
    <mergeCell ref="H13:I13"/>
    <mergeCell ref="H14:I14"/>
    <mergeCell ref="H15:I15"/>
    <mergeCell ref="A14:C14"/>
    <mergeCell ref="E14:F14"/>
    <mergeCell ref="A15:C15"/>
    <mergeCell ref="E15:F15"/>
    <mergeCell ref="H16:I16"/>
    <mergeCell ref="A3:O3"/>
    <mergeCell ref="A4:A5"/>
    <mergeCell ref="A13:C13"/>
    <mergeCell ref="E13:F13"/>
    <mergeCell ref="M4:O4"/>
    <mergeCell ref="J4:L4"/>
    <mergeCell ref="K13:L13"/>
  </mergeCells>
  <conditionalFormatting sqref="I7:I12 L6:L12 O6:O12 F6:F12">
    <cfRule type="expression" dxfId="302" priority="1">
      <formula>E6=MIN($E6,$H6,$K6,$N6)</formula>
    </cfRule>
  </conditionalFormatting>
  <pageMargins left="0.25" right="0.25" top="0.75" bottom="0.75" header="0.3" footer="0.3"/>
  <pageSetup orientation="landscape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CCC57-DD85-4BC0-9135-E4C626247138}">
  <sheetPr codeName="Hoja65"/>
  <dimension ref="B2:K14"/>
  <sheetViews>
    <sheetView showGridLines="0" workbookViewId="0">
      <selection activeCell="E4" sqref="E4: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28515625" style="1" bestFit="1" customWidth="1"/>
    <col min="5" max="10" width="10.8554687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429</v>
      </c>
      <c r="E4" s="1252" t="s">
        <v>53</v>
      </c>
      <c r="F4" s="1251"/>
      <c r="G4" s="1248" t="s">
        <v>55</v>
      </c>
      <c r="H4" s="1251"/>
      <c r="I4" s="1248" t="s">
        <v>9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24" t="s">
        <v>10</v>
      </c>
      <c r="G5" s="31" t="s">
        <v>14</v>
      </c>
      <c r="H5" s="624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2</v>
      </c>
      <c r="D6" s="9" t="s">
        <v>430</v>
      </c>
      <c r="E6" s="637">
        <f>202.9/C6</f>
        <v>101.45</v>
      </c>
      <c r="F6" s="638">
        <f>+E6*$C6</f>
        <v>202.9</v>
      </c>
      <c r="G6" s="637" t="s">
        <v>36</v>
      </c>
      <c r="H6" s="638" t="s">
        <v>36</v>
      </c>
      <c r="I6" s="637" t="s">
        <v>36</v>
      </c>
      <c r="J6" s="640" t="s">
        <v>36</v>
      </c>
      <c r="K6" s="7"/>
    </row>
    <row r="7" spans="2:11" s="3" customFormat="1" x14ac:dyDescent="0.3">
      <c r="B7" s="20">
        <v>2</v>
      </c>
      <c r="C7" s="17">
        <v>6</v>
      </c>
      <c r="D7" s="8" t="s">
        <v>357</v>
      </c>
      <c r="E7" s="639">
        <f>667.74/C7</f>
        <v>111.29</v>
      </c>
      <c r="F7" s="638">
        <f t="shared" ref="F7:F8" si="0">+E7*$C7</f>
        <v>667.74</v>
      </c>
      <c r="G7" s="637">
        <f>(103.69+18.02)</f>
        <v>121.71</v>
      </c>
      <c r="H7" s="638">
        <f>+G7*$C7</f>
        <v>730.26</v>
      </c>
      <c r="I7" s="639" t="s">
        <v>36</v>
      </c>
      <c r="J7" s="640" t="s">
        <v>36</v>
      </c>
      <c r="K7" s="7"/>
    </row>
    <row r="8" spans="2:11" s="3" customFormat="1" ht="18" thickBot="1" x14ac:dyDescent="0.35">
      <c r="B8" s="20">
        <v>3</v>
      </c>
      <c r="C8" s="17">
        <v>5</v>
      </c>
      <c r="D8" s="8" t="s">
        <v>54</v>
      </c>
      <c r="E8" s="639">
        <f>422.6/C8</f>
        <v>84.52000000000001</v>
      </c>
      <c r="F8" s="638">
        <f t="shared" si="0"/>
        <v>422.6</v>
      </c>
      <c r="G8" s="639">
        <v>100.12</v>
      </c>
      <c r="H8" s="638">
        <f t="shared" ref="H8" si="1">+G8*$C8</f>
        <v>500.6</v>
      </c>
      <c r="I8" s="639">
        <f>620.32/C8</f>
        <v>124.06400000000001</v>
      </c>
      <c r="J8" s="640">
        <f t="shared" ref="J8" si="2">+I8*$C8</f>
        <v>620.32000000000005</v>
      </c>
      <c r="K8" s="7"/>
    </row>
    <row r="9" spans="2:11" x14ac:dyDescent="0.3">
      <c r="B9" s="1217" t="s">
        <v>4</v>
      </c>
      <c r="C9" s="1218"/>
      <c r="D9" s="1219"/>
      <c r="E9" s="1472">
        <f>SUM(F6:F8)</f>
        <v>1293.24</v>
      </c>
      <c r="F9" s="1473"/>
      <c r="G9" s="1472">
        <f>SUM(H6:H8)</f>
        <v>1230.8600000000001</v>
      </c>
      <c r="H9" s="1473"/>
      <c r="I9" s="1472">
        <f>SUM(J6:J8)</f>
        <v>620.32000000000005</v>
      </c>
      <c r="J9" s="1474"/>
    </row>
    <row r="10" spans="2:11" x14ac:dyDescent="0.3">
      <c r="B10" s="1205" t="s">
        <v>5</v>
      </c>
      <c r="C10" s="1206"/>
      <c r="D10" s="1207"/>
      <c r="E10" s="1467" t="s">
        <v>431</v>
      </c>
      <c r="F10" s="1468"/>
      <c r="G10" s="1469">
        <v>0</v>
      </c>
      <c r="H10" s="1470"/>
      <c r="I10" s="1469">
        <v>0</v>
      </c>
      <c r="J10" s="1471"/>
    </row>
    <row r="11" spans="2:11" x14ac:dyDescent="0.3">
      <c r="B11" s="1208" t="s">
        <v>2</v>
      </c>
      <c r="C11" s="1209"/>
      <c r="D11" s="1210"/>
      <c r="E11" s="1469">
        <f>(E9)*15%</f>
        <v>193.98599999999999</v>
      </c>
      <c r="F11" s="1470"/>
      <c r="G11" s="1469">
        <f>(G9-G10)*15%</f>
        <v>184.62900000000002</v>
      </c>
      <c r="H11" s="1470"/>
      <c r="I11" s="1469">
        <f>(I9-I10)*15%</f>
        <v>93.048000000000002</v>
      </c>
      <c r="J11" s="1471"/>
    </row>
    <row r="12" spans="2:11" ht="18" thickBot="1" x14ac:dyDescent="0.35">
      <c r="B12" s="1202" t="s">
        <v>3</v>
      </c>
      <c r="C12" s="1203"/>
      <c r="D12" s="1204"/>
      <c r="E12" s="1464">
        <f>(E9)+E11</f>
        <v>1487.2260000000001</v>
      </c>
      <c r="F12" s="1465"/>
      <c r="G12" s="1464">
        <f>(G9-G10)+G11</f>
        <v>1415.489</v>
      </c>
      <c r="H12" s="1465"/>
      <c r="I12" s="1464">
        <f>(I9-I10)+I11</f>
        <v>713.36800000000005</v>
      </c>
      <c r="J12" s="1466"/>
    </row>
    <row r="14" spans="2:11" x14ac:dyDescent="0.3">
      <c r="F14" s="4"/>
      <c r="G14" s="4"/>
      <c r="H14" s="4"/>
      <c r="J14" s="4"/>
    </row>
  </sheetData>
  <mergeCells count="21">
    <mergeCell ref="B9:D9"/>
    <mergeCell ref="E9:F9"/>
    <mergeCell ref="G9:H9"/>
    <mergeCell ref="I9:J9"/>
    <mergeCell ref="B3:J3"/>
    <mergeCell ref="B4:B5"/>
    <mergeCell ref="E4:F4"/>
    <mergeCell ref="G4:H4"/>
    <mergeCell ref="I4:J4"/>
    <mergeCell ref="B12:D12"/>
    <mergeCell ref="E12:F12"/>
    <mergeCell ref="G12:H12"/>
    <mergeCell ref="I12:J12"/>
    <mergeCell ref="B10:D10"/>
    <mergeCell ref="E10:F10"/>
    <mergeCell ref="G10:H10"/>
    <mergeCell ref="I10:J10"/>
    <mergeCell ref="B11:D11"/>
    <mergeCell ref="E11:F11"/>
    <mergeCell ref="G11:H11"/>
    <mergeCell ref="I11:J11"/>
  </mergeCells>
  <conditionalFormatting sqref="F6:F8 H6:H8 J6:J8">
    <cfRule type="expression" dxfId="301" priority="5">
      <formula>E6=""</formula>
    </cfRule>
    <cfRule type="expression" dxfId="300" priority="6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FAB5F1-FEBE-4775-98D6-18FEA1F4B5B6}">
  <sheetPr codeName="Hoja66"/>
  <dimension ref="B2:M13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7109375" style="34" bestFit="1" customWidth="1"/>
    <col min="4" max="4" width="16.7109375" style="34" bestFit="1" customWidth="1"/>
    <col min="5" max="5" width="10" style="34" bestFit="1" customWidth="1"/>
    <col min="6" max="6" width="12.85546875" style="34" bestFit="1" customWidth="1"/>
    <col min="7" max="7" width="10" style="34" bestFit="1" customWidth="1"/>
    <col min="8" max="8" width="12.85546875" style="34" bestFit="1" customWidth="1"/>
    <col min="9" max="9" width="11.140625" style="34" bestFit="1" customWidth="1"/>
    <col min="10" max="10" width="12.85546875" style="34" customWidth="1"/>
    <col min="11" max="11" width="11.140625" style="34" bestFit="1" customWidth="1"/>
    <col min="12" max="12" width="12.85546875" style="34" bestFit="1" customWidth="1"/>
    <col min="13" max="13" width="13.42578125" style="35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350"/>
      <c r="D3" s="1350"/>
      <c r="E3" s="1101"/>
      <c r="F3" s="1101"/>
      <c r="G3" s="1101"/>
      <c r="H3" s="1101"/>
      <c r="I3" s="1101"/>
      <c r="J3" s="1101"/>
      <c r="K3" s="1101"/>
      <c r="L3" s="1102"/>
    </row>
    <row r="4" spans="2:13" ht="16.5" thickBot="1" x14ac:dyDescent="0.3">
      <c r="B4" s="1182" t="s">
        <v>6</v>
      </c>
      <c r="C4" s="110" t="s">
        <v>17</v>
      </c>
      <c r="D4" s="111" t="s">
        <v>432</v>
      </c>
      <c r="E4" s="1184" t="s">
        <v>435</v>
      </c>
      <c r="F4" s="1102"/>
      <c r="G4" s="1100" t="s">
        <v>436</v>
      </c>
      <c r="H4" s="1102"/>
      <c r="I4" s="1100" t="s">
        <v>438</v>
      </c>
      <c r="J4" s="1102"/>
      <c r="K4" s="1100" t="s">
        <v>437</v>
      </c>
      <c r="L4" s="1102"/>
    </row>
    <row r="5" spans="2:13" ht="16.5" thickBot="1" x14ac:dyDescent="0.3">
      <c r="B5" s="1183"/>
      <c r="C5" s="112" t="s">
        <v>11</v>
      </c>
      <c r="D5" s="113" t="s">
        <v>0</v>
      </c>
      <c r="E5" s="114" t="s">
        <v>14</v>
      </c>
      <c r="F5" s="636" t="s">
        <v>10</v>
      </c>
      <c r="G5" s="114" t="s">
        <v>14</v>
      </c>
      <c r="H5" s="636" t="s">
        <v>10</v>
      </c>
      <c r="I5" s="114" t="s">
        <v>14</v>
      </c>
      <c r="J5" s="641" t="s">
        <v>10</v>
      </c>
      <c r="K5" s="114" t="s">
        <v>14</v>
      </c>
      <c r="L5" s="116" t="s">
        <v>10</v>
      </c>
    </row>
    <row r="6" spans="2:13" s="346" customFormat="1" ht="31.5" x14ac:dyDescent="0.25">
      <c r="B6" s="117">
        <v>1</v>
      </c>
      <c r="C6" s="340">
        <v>10000</v>
      </c>
      <c r="D6" s="508" t="s">
        <v>433</v>
      </c>
      <c r="E6" s="570" t="s">
        <v>36</v>
      </c>
      <c r="F6" s="569" t="s">
        <v>36</v>
      </c>
      <c r="G6" s="570">
        <v>0.38</v>
      </c>
      <c r="H6" s="569">
        <f>+G6*$C6</f>
        <v>3800</v>
      </c>
      <c r="I6" s="570">
        <f>8000/C6</f>
        <v>0.8</v>
      </c>
      <c r="J6" s="569">
        <f>+I6*C6</f>
        <v>8000</v>
      </c>
      <c r="K6" s="570">
        <v>0.7</v>
      </c>
      <c r="L6" s="343">
        <f>+K6*$C6</f>
        <v>7000</v>
      </c>
      <c r="M6" s="345"/>
    </row>
    <row r="7" spans="2:13" s="346" customFormat="1" ht="48" thickBot="1" x14ac:dyDescent="0.3">
      <c r="B7" s="125">
        <v>2</v>
      </c>
      <c r="C7" s="347">
        <v>20</v>
      </c>
      <c r="D7" s="589" t="s">
        <v>434</v>
      </c>
      <c r="E7" s="590">
        <f>1350/C7</f>
        <v>67.5</v>
      </c>
      <c r="F7" s="569">
        <f t="shared" ref="F7" si="0">+E7*$C7</f>
        <v>1350</v>
      </c>
      <c r="G7" s="590">
        <v>98</v>
      </c>
      <c r="H7" s="569">
        <f t="shared" ref="H7" si="1">+G7*$C7</f>
        <v>1960</v>
      </c>
      <c r="I7" s="590">
        <f>2380/C7</f>
        <v>119</v>
      </c>
      <c r="J7" s="569">
        <f>+I7*C7</f>
        <v>2380</v>
      </c>
      <c r="K7" s="590">
        <f>2650/C7</f>
        <v>132.5</v>
      </c>
      <c r="L7" s="343">
        <f t="shared" ref="L7" si="2">+K7*$C7</f>
        <v>2650</v>
      </c>
      <c r="M7" s="345"/>
    </row>
    <row r="8" spans="2:13" x14ac:dyDescent="0.25">
      <c r="B8" s="1094" t="s">
        <v>4</v>
      </c>
      <c r="C8" s="1095"/>
      <c r="D8" s="1185"/>
      <c r="E8" s="1186">
        <f>SUM(F6:F7)</f>
        <v>1350</v>
      </c>
      <c r="F8" s="1187"/>
      <c r="G8" s="1186">
        <f>SUM(H6:H7)</f>
        <v>5760</v>
      </c>
      <c r="H8" s="1187"/>
      <c r="I8" s="1186">
        <f>SUM(J6:J7)</f>
        <v>10380</v>
      </c>
      <c r="J8" s="1187"/>
      <c r="K8" s="1186">
        <f>SUM(L6:L7)</f>
        <v>9650</v>
      </c>
      <c r="L8" s="1188"/>
    </row>
    <row r="9" spans="2:13" x14ac:dyDescent="0.25">
      <c r="B9" s="1096" t="s">
        <v>5</v>
      </c>
      <c r="C9" s="1097"/>
      <c r="D9" s="1195"/>
      <c r="E9" s="1176">
        <v>0</v>
      </c>
      <c r="F9" s="1196"/>
      <c r="G9" s="1176">
        <v>0</v>
      </c>
      <c r="H9" s="1196"/>
      <c r="I9" s="1176">
        <v>0</v>
      </c>
      <c r="J9" s="1196"/>
      <c r="K9" s="1176">
        <v>0</v>
      </c>
      <c r="L9" s="1177"/>
    </row>
    <row r="10" spans="2:13" x14ac:dyDescent="0.25">
      <c r="B10" s="1096" t="s">
        <v>2</v>
      </c>
      <c r="C10" s="1097"/>
      <c r="D10" s="1195"/>
      <c r="E10" s="1176">
        <f>(E8-E9)*15%</f>
        <v>202.5</v>
      </c>
      <c r="F10" s="1196"/>
      <c r="G10" s="1176">
        <f>(G8-G9)*15%</f>
        <v>864</v>
      </c>
      <c r="H10" s="1196"/>
      <c r="I10" s="1176">
        <f>+I8*0.15</f>
        <v>1557</v>
      </c>
      <c r="J10" s="1196"/>
      <c r="K10" s="1176">
        <f>(K8-K9)*15%</f>
        <v>1447.5</v>
      </c>
      <c r="L10" s="1177"/>
    </row>
    <row r="11" spans="2:13" ht="16.5" thickBot="1" x14ac:dyDescent="0.3">
      <c r="B11" s="1098" t="s">
        <v>3</v>
      </c>
      <c r="C11" s="1099"/>
      <c r="D11" s="1454"/>
      <c r="E11" s="1457">
        <f>(E8-E9)+E10</f>
        <v>1552.5</v>
      </c>
      <c r="F11" s="1458"/>
      <c r="G11" s="1457">
        <f>(G8-G9)+G10</f>
        <v>6624</v>
      </c>
      <c r="H11" s="1458"/>
      <c r="I11" s="1457">
        <f>+I8+I10</f>
        <v>11937</v>
      </c>
      <c r="J11" s="1458"/>
      <c r="K11" s="1457">
        <f>(K8-K9)+K10</f>
        <v>11097.5</v>
      </c>
      <c r="L11" s="1346"/>
    </row>
    <row r="13" spans="2:13" x14ac:dyDescent="0.25">
      <c r="F13" s="40"/>
      <c r="G13" s="40"/>
      <c r="H13" s="40"/>
      <c r="I13" s="40"/>
      <c r="J13" s="40"/>
      <c r="L13" s="40"/>
    </row>
  </sheetData>
  <mergeCells count="26">
    <mergeCell ref="B8:D8"/>
    <mergeCell ref="E8:F8"/>
    <mergeCell ref="G8:H8"/>
    <mergeCell ref="K8:L8"/>
    <mergeCell ref="I4:J4"/>
    <mergeCell ref="I8:J8"/>
    <mergeCell ref="B3:L3"/>
    <mergeCell ref="B4:B5"/>
    <mergeCell ref="E4:F4"/>
    <mergeCell ref="G4:H4"/>
    <mergeCell ref="K4:L4"/>
    <mergeCell ref="B11:D11"/>
    <mergeCell ref="E11:F11"/>
    <mergeCell ref="G11:H11"/>
    <mergeCell ref="K11:L11"/>
    <mergeCell ref="B9:D9"/>
    <mergeCell ref="E9:F9"/>
    <mergeCell ref="G9:H9"/>
    <mergeCell ref="K9:L9"/>
    <mergeCell ref="B10:D10"/>
    <mergeCell ref="E10:F10"/>
    <mergeCell ref="G10:H10"/>
    <mergeCell ref="K10:L10"/>
    <mergeCell ref="I9:J9"/>
    <mergeCell ref="I10:J10"/>
    <mergeCell ref="I11:J11"/>
  </mergeCells>
  <conditionalFormatting sqref="F6:F7 H6:H7 L6:L7">
    <cfRule type="expression" dxfId="299" priority="9">
      <formula>E6=""</formula>
    </cfRule>
    <cfRule type="expression" dxfId="298" priority="10">
      <formula>E6=MIN($E6,$G6,$K6)</formula>
    </cfRule>
  </conditionalFormatting>
  <conditionalFormatting sqref="J6:J7">
    <cfRule type="expression" dxfId="297" priority="1">
      <formula>I6=""</formula>
    </cfRule>
    <cfRule type="expression" dxfId="296" priority="2">
      <formula>I6=MIN($E6,$G6,$K6)</formula>
    </cfRule>
  </conditionalFormatting>
  <pageMargins left="0.25" right="0.25" top="0.75" bottom="0.75" header="0.3" footer="0.3"/>
  <pageSetup orientation="landscape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20882-A099-4C39-BD8E-F77F2059D894}">
  <sheetPr codeName="Hoja67"/>
  <dimension ref="B2:I12"/>
  <sheetViews>
    <sheetView showGridLines="0" workbookViewId="0">
      <selection activeCell="C6" sqref="C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bestFit="1" customWidth="1"/>
    <col min="5" max="5" width="14.140625" style="2" bestFit="1" customWidth="1"/>
    <col min="6" max="8" width="15.42578125" style="2" bestFit="1" customWidth="1"/>
    <col min="9" max="9" width="13.42578125" style="6" bestFit="1" customWidth="1"/>
    <col min="10" max="10" width="13.42578125" style="2" bestFit="1" customWidth="1"/>
    <col min="11" max="16384" width="11.4257812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9" ht="18" thickBot="1" x14ac:dyDescent="0.3">
      <c r="B4" s="1215" t="s">
        <v>6</v>
      </c>
      <c r="C4" s="29" t="s">
        <v>17</v>
      </c>
      <c r="D4" s="30" t="s">
        <v>439</v>
      </c>
      <c r="E4" s="1252" t="s">
        <v>441</v>
      </c>
      <c r="F4" s="1251"/>
      <c r="G4" s="1248" t="s">
        <v>442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642" t="s">
        <v>10</v>
      </c>
      <c r="G5" s="31" t="s">
        <v>14</v>
      </c>
      <c r="H5" s="32" t="s">
        <v>10</v>
      </c>
    </row>
    <row r="6" spans="2:9" s="157" customFormat="1" ht="35.25" thickBot="1" x14ac:dyDescent="0.3">
      <c r="B6" s="19">
        <v>1</v>
      </c>
      <c r="C6" s="158">
        <v>2</v>
      </c>
      <c r="D6" s="159" t="s">
        <v>440</v>
      </c>
      <c r="E6" s="160">
        <v>6000</v>
      </c>
      <c r="F6" s="161">
        <f>+E6*$C6</f>
        <v>12000</v>
      </c>
      <c r="G6" s="160">
        <v>13800</v>
      </c>
      <c r="H6" s="162">
        <f>+G6*$C6</f>
        <v>27600</v>
      </c>
      <c r="I6" s="163"/>
    </row>
    <row r="7" spans="2:9" x14ac:dyDescent="0.25">
      <c r="B7" s="1217" t="s">
        <v>4</v>
      </c>
      <c r="C7" s="1218"/>
      <c r="D7" s="1219"/>
      <c r="E7" s="1245">
        <f>SUM(F6:F6)</f>
        <v>12000</v>
      </c>
      <c r="F7" s="1246"/>
      <c r="G7" s="1245">
        <f>SUM(H6:H6)</f>
        <v>27600</v>
      </c>
      <c r="H7" s="1247"/>
    </row>
    <row r="8" spans="2:9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4"/>
    </row>
    <row r="9" spans="2:9" x14ac:dyDescent="0.25">
      <c r="B9" s="1205" t="s">
        <v>2</v>
      </c>
      <c r="C9" s="1206"/>
      <c r="D9" s="1207"/>
      <c r="E9" s="1242">
        <v>0</v>
      </c>
      <c r="F9" s="1243"/>
      <c r="G9" s="1242">
        <f>(G7-G8)*15%</f>
        <v>4140</v>
      </c>
      <c r="H9" s="1244"/>
    </row>
    <row r="10" spans="2:9" ht="18" thickBot="1" x14ac:dyDescent="0.3">
      <c r="B10" s="1236" t="s">
        <v>3</v>
      </c>
      <c r="C10" s="1237"/>
      <c r="D10" s="1238"/>
      <c r="E10" s="1239">
        <f>(E7-E8)+E9</f>
        <v>12000</v>
      </c>
      <c r="F10" s="1240"/>
      <c r="G10" s="1239">
        <f>(G7-G8)+G9</f>
        <v>31740</v>
      </c>
      <c r="H10" s="1241"/>
    </row>
    <row r="12" spans="2:9" x14ac:dyDescent="0.25">
      <c r="F12" s="2" t="s">
        <v>443</v>
      </c>
      <c r="G12" s="164"/>
      <c r="H12" s="164"/>
    </row>
  </sheetData>
  <mergeCells count="16"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3:H3"/>
    <mergeCell ref="B4:B5"/>
    <mergeCell ref="E4:F4"/>
    <mergeCell ref="G4:H4"/>
    <mergeCell ref="B7:D7"/>
    <mergeCell ref="E7:F7"/>
    <mergeCell ref="G7:H7"/>
  </mergeCells>
  <conditionalFormatting sqref="F6 H6">
    <cfRule type="expression" dxfId="295" priority="186">
      <formula>E6=""</formula>
    </cfRule>
    <cfRule type="expression" dxfId="294" priority="187">
      <formula>E6=MIN($E6,$G6,#REF!)</formula>
    </cfRule>
  </conditionalFormatting>
  <pageMargins left="0.25" right="0.25" top="0.75" bottom="0.75" header="0.3" footer="0.3"/>
  <pageSetup orientation="landscape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CD00D-83D8-4145-B57F-63D0965E0C48}">
  <sheetPr codeName="Hoja68"/>
  <dimension ref="B2:I13"/>
  <sheetViews>
    <sheetView showGridLines="0" workbookViewId="0">
      <selection activeCell="C6" sqref="C6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" style="2" bestFit="1" customWidth="1"/>
    <col min="5" max="5" width="12.28515625" style="2" bestFit="1" customWidth="1"/>
    <col min="6" max="6" width="14.140625" style="2" bestFit="1" customWidth="1"/>
    <col min="7" max="7" width="12.28515625" style="2" bestFit="1" customWidth="1"/>
    <col min="8" max="8" width="14.140625" style="2" bestFit="1" customWidth="1"/>
    <col min="9" max="9" width="13.42578125" style="6" bestFit="1" customWidth="1"/>
    <col min="10" max="10" width="13.42578125" style="2" bestFit="1" customWidth="1"/>
    <col min="11" max="16384" width="11.4257812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9" ht="18" thickBot="1" x14ac:dyDescent="0.3">
      <c r="B4" s="1215" t="s">
        <v>6</v>
      </c>
      <c r="C4" s="29" t="s">
        <v>17</v>
      </c>
      <c r="D4" s="30" t="s">
        <v>444</v>
      </c>
      <c r="E4" s="1252" t="s">
        <v>446</v>
      </c>
      <c r="F4" s="1251"/>
      <c r="G4" s="1248" t="s">
        <v>447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643" t="s">
        <v>10</v>
      </c>
      <c r="G5" s="31" t="s">
        <v>14</v>
      </c>
      <c r="H5" s="32" t="s">
        <v>10</v>
      </c>
    </row>
    <row r="6" spans="2:9" s="157" customFormat="1" ht="18" thickBot="1" x14ac:dyDescent="0.3">
      <c r="B6" s="19">
        <v>1</v>
      </c>
      <c r="C6" s="158">
        <v>10</v>
      </c>
      <c r="D6" s="159" t="s">
        <v>445</v>
      </c>
      <c r="E6" s="160">
        <v>781</v>
      </c>
      <c r="F6" s="161">
        <f>+E6*$C6</f>
        <v>7810</v>
      </c>
      <c r="G6" s="646">
        <f>17*TC!C3</f>
        <v>606.8116</v>
      </c>
      <c r="H6" s="162">
        <f>+G6*$C6</f>
        <v>6068.116</v>
      </c>
      <c r="I6" s="163"/>
    </row>
    <row r="7" spans="2:9" x14ac:dyDescent="0.25">
      <c r="B7" s="1217" t="s">
        <v>4</v>
      </c>
      <c r="C7" s="1218"/>
      <c r="D7" s="1219"/>
      <c r="E7" s="1245">
        <f>SUM(F6:F6)</f>
        <v>7810</v>
      </c>
      <c r="F7" s="1246"/>
      <c r="G7" s="1245">
        <f>SUM(H6:H6)</f>
        <v>6068.116</v>
      </c>
      <c r="H7" s="1247"/>
    </row>
    <row r="8" spans="2:9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4"/>
    </row>
    <row r="9" spans="2:9" x14ac:dyDescent="0.25">
      <c r="B9" s="1205" t="s">
        <v>2</v>
      </c>
      <c r="C9" s="1206"/>
      <c r="D9" s="1207"/>
      <c r="E9" s="1242">
        <f>+F6*0.15</f>
        <v>1171.5</v>
      </c>
      <c r="F9" s="1243"/>
      <c r="G9" s="1242">
        <f>(G7-G8)*15%</f>
        <v>910.2174</v>
      </c>
      <c r="H9" s="1244"/>
    </row>
    <row r="10" spans="2:9" ht="18" thickBot="1" x14ac:dyDescent="0.3">
      <c r="B10" s="1236" t="s">
        <v>3</v>
      </c>
      <c r="C10" s="1237"/>
      <c r="D10" s="1238"/>
      <c r="E10" s="1239">
        <f>(E7-E8)+E9</f>
        <v>8981.5</v>
      </c>
      <c r="F10" s="1240"/>
      <c r="G10" s="1239">
        <f>(G7-G8)+G9</f>
        <v>6978.3333999999995</v>
      </c>
      <c r="H10" s="1241"/>
    </row>
    <row r="12" spans="2:9" x14ac:dyDescent="0.25">
      <c r="G12" s="164"/>
      <c r="H12" s="164"/>
    </row>
    <row r="13" spans="2:9" x14ac:dyDescent="0.25">
      <c r="H13" s="16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conditionalFormatting sqref="F6 H6">
    <cfRule type="expression" dxfId="293" priority="1">
      <formula>E6=""</formula>
    </cfRule>
    <cfRule type="expression" dxfId="292" priority="2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7868B-5440-4097-92D9-E3C7F60547CB}">
  <sheetPr codeName="Hoja69"/>
  <dimension ref="B2:M16"/>
  <sheetViews>
    <sheetView showGridLines="0" workbookViewId="0">
      <selection activeCell="G4" sqref="G4:H4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7.85546875" style="34" bestFit="1" customWidth="1"/>
    <col min="5" max="5" width="11.140625" style="34" bestFit="1" customWidth="1"/>
    <col min="6" max="6" width="14" style="34" bestFit="1" customWidth="1"/>
    <col min="7" max="7" width="11.140625" style="34" bestFit="1" customWidth="1"/>
    <col min="8" max="8" width="14" style="34" bestFit="1" customWidth="1"/>
    <col min="9" max="9" width="11.140625" style="34" bestFit="1" customWidth="1"/>
    <col min="10" max="10" width="14" style="34" bestFit="1" customWidth="1"/>
    <col min="11" max="11" width="11.140625" style="34" bestFit="1" customWidth="1"/>
    <col min="12" max="12" width="14" style="34" bestFit="1" customWidth="1"/>
    <col min="13" max="13" width="13.42578125" style="35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1"/>
      <c r="K3" s="1101"/>
      <c r="L3" s="1102"/>
    </row>
    <row r="4" spans="2:13" x14ac:dyDescent="0.25">
      <c r="B4" s="1434" t="s">
        <v>6</v>
      </c>
      <c r="C4" s="505" t="s">
        <v>17</v>
      </c>
      <c r="D4" s="506" t="s">
        <v>448</v>
      </c>
      <c r="E4" s="1435" t="s">
        <v>273</v>
      </c>
      <c r="F4" s="1435"/>
      <c r="G4" s="1435" t="s">
        <v>272</v>
      </c>
      <c r="H4" s="1435"/>
      <c r="I4" s="1435" t="s">
        <v>211</v>
      </c>
      <c r="J4" s="1435"/>
      <c r="K4" s="1435" t="s">
        <v>450</v>
      </c>
      <c r="L4" s="1436"/>
    </row>
    <row r="5" spans="2:13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45" t="s">
        <v>10</v>
      </c>
      <c r="K5" s="45" t="s">
        <v>14</v>
      </c>
      <c r="L5" s="393" t="s">
        <v>10</v>
      </c>
    </row>
    <row r="6" spans="2:13" s="346" customFormat="1" x14ac:dyDescent="0.25">
      <c r="B6" s="645">
        <v>1</v>
      </c>
      <c r="C6" s="507">
        <v>72</v>
      </c>
      <c r="D6" s="508" t="s">
        <v>268</v>
      </c>
      <c r="E6" s="510">
        <v>172.53</v>
      </c>
      <c r="F6" s="510">
        <f>+E6*$C6</f>
        <v>12422.16</v>
      </c>
      <c r="G6" s="510">
        <v>169.06</v>
      </c>
      <c r="H6" s="510">
        <f>+G6*$C6</f>
        <v>12172.32</v>
      </c>
      <c r="I6" s="510">
        <v>162</v>
      </c>
      <c r="J6" s="510">
        <f>+I6*$C6</f>
        <v>11664</v>
      </c>
      <c r="K6" s="510" t="s">
        <v>36</v>
      </c>
      <c r="L6" s="511" t="s">
        <v>36</v>
      </c>
      <c r="M6" s="345"/>
    </row>
    <row r="7" spans="2:13" s="346" customFormat="1" x14ac:dyDescent="0.25">
      <c r="B7" s="421">
        <v>2</v>
      </c>
      <c r="C7" s="647">
        <v>36</v>
      </c>
      <c r="D7" s="589" t="s">
        <v>393</v>
      </c>
      <c r="E7" s="648">
        <v>70</v>
      </c>
      <c r="F7" s="648">
        <f t="shared" ref="F7:F9" si="0">+E7*$C7</f>
        <v>2520</v>
      </c>
      <c r="G7" s="648">
        <v>63.65</v>
      </c>
      <c r="H7" s="648">
        <f t="shared" ref="H7:H9" si="1">+G7*$C7</f>
        <v>2291.4</v>
      </c>
      <c r="I7" s="648">
        <v>75</v>
      </c>
      <c r="J7" s="648">
        <f t="shared" ref="J7" si="2">+I7*$C7</f>
        <v>2700</v>
      </c>
      <c r="K7" s="648" t="s">
        <v>36</v>
      </c>
      <c r="L7" s="649" t="s">
        <v>36</v>
      </c>
      <c r="M7" s="345"/>
    </row>
    <row r="8" spans="2:13" s="346" customFormat="1" ht="31.5" x14ac:dyDescent="0.25">
      <c r="B8" s="421">
        <v>3</v>
      </c>
      <c r="C8" s="647">
        <v>100</v>
      </c>
      <c r="D8" s="589" t="s">
        <v>449</v>
      </c>
      <c r="E8" s="648">
        <v>495</v>
      </c>
      <c r="F8" s="648">
        <f t="shared" si="0"/>
        <v>49500</v>
      </c>
      <c r="G8" s="648">
        <v>510</v>
      </c>
      <c r="H8" s="648">
        <f t="shared" si="1"/>
        <v>51000</v>
      </c>
      <c r="I8" s="648" t="s">
        <v>36</v>
      </c>
      <c r="J8" s="648" t="s">
        <v>36</v>
      </c>
      <c r="K8" s="648">
        <v>500</v>
      </c>
      <c r="L8" s="650">
        <f>+K8*C8</f>
        <v>50000</v>
      </c>
      <c r="M8" s="345"/>
    </row>
    <row r="9" spans="2:13" s="346" customFormat="1" ht="16.5" thickBot="1" x14ac:dyDescent="0.3">
      <c r="B9" s="401">
        <v>4</v>
      </c>
      <c r="C9" s="512">
        <v>100</v>
      </c>
      <c r="D9" s="513" t="s">
        <v>395</v>
      </c>
      <c r="E9" s="514">
        <v>130</v>
      </c>
      <c r="F9" s="514">
        <f t="shared" si="0"/>
        <v>13000</v>
      </c>
      <c r="G9" s="514">
        <v>129</v>
      </c>
      <c r="H9" s="514">
        <f t="shared" si="1"/>
        <v>12900</v>
      </c>
      <c r="I9" s="514">
        <v>120</v>
      </c>
      <c r="J9" s="514">
        <f t="shared" ref="J9" si="3">+I9*$C9</f>
        <v>12000</v>
      </c>
      <c r="K9" s="514">
        <v>80</v>
      </c>
      <c r="L9" s="516">
        <f t="shared" ref="L9" si="4">+K9*$C9</f>
        <v>8000</v>
      </c>
      <c r="M9" s="345"/>
    </row>
    <row r="10" spans="2:13" x14ac:dyDescent="0.25">
      <c r="B10" s="1094" t="s">
        <v>4</v>
      </c>
      <c r="C10" s="1095"/>
      <c r="D10" s="1095"/>
      <c r="E10" s="1399">
        <f>SUM(F6:F9)</f>
        <v>77442.16</v>
      </c>
      <c r="F10" s="1399"/>
      <c r="G10" s="1399">
        <f>SUM(H6:H9)</f>
        <v>78363.72</v>
      </c>
      <c r="H10" s="1399"/>
      <c r="I10" s="1399">
        <f>SUM(J6:J9)</f>
        <v>26364</v>
      </c>
      <c r="J10" s="1399"/>
      <c r="K10" s="1399">
        <f>SUM(L6:L9)</f>
        <v>58000</v>
      </c>
      <c r="L10" s="1403"/>
    </row>
    <row r="11" spans="2:13" x14ac:dyDescent="0.25">
      <c r="B11" s="1096" t="s">
        <v>5</v>
      </c>
      <c r="C11" s="1097"/>
      <c r="D11" s="1097"/>
      <c r="E11" s="1400">
        <v>0</v>
      </c>
      <c r="F11" s="1400"/>
      <c r="G11" s="1400">
        <v>0</v>
      </c>
      <c r="H11" s="1400"/>
      <c r="I11" s="1400">
        <v>0</v>
      </c>
      <c r="J11" s="1400"/>
      <c r="K11" s="1400">
        <v>0</v>
      </c>
      <c r="L11" s="1401"/>
    </row>
    <row r="12" spans="2:13" x14ac:dyDescent="0.25">
      <c r="B12" s="1096" t="s">
        <v>2</v>
      </c>
      <c r="C12" s="1097"/>
      <c r="D12" s="1097"/>
      <c r="E12" s="1400">
        <f>(E10-E11)*15%</f>
        <v>11616.324000000001</v>
      </c>
      <c r="F12" s="1400"/>
      <c r="G12" s="1400">
        <f>(G10-G11)*15%</f>
        <v>11754.557999999999</v>
      </c>
      <c r="H12" s="1400"/>
      <c r="I12" s="1400">
        <f>(I10-I11)*15%</f>
        <v>3954.6</v>
      </c>
      <c r="J12" s="1400"/>
      <c r="K12" s="1400">
        <v>0</v>
      </c>
      <c r="L12" s="1401"/>
    </row>
    <row r="13" spans="2:13" ht="16.5" thickBot="1" x14ac:dyDescent="0.3">
      <c r="B13" s="1098" t="s">
        <v>3</v>
      </c>
      <c r="C13" s="1099"/>
      <c r="D13" s="1099"/>
      <c r="E13" s="1437">
        <f>(E10-E11)+E12</f>
        <v>89058.483999999997</v>
      </c>
      <c r="F13" s="1437"/>
      <c r="G13" s="1437">
        <f>(G10-G11)+G12</f>
        <v>90118.278000000006</v>
      </c>
      <c r="H13" s="1437"/>
      <c r="I13" s="1437">
        <f>(I10-I11)+I12</f>
        <v>30318.6</v>
      </c>
      <c r="J13" s="1437"/>
      <c r="K13" s="1437">
        <f>(K10-K11)+K12</f>
        <v>58000</v>
      </c>
      <c r="L13" s="1438"/>
    </row>
    <row r="15" spans="2:13" x14ac:dyDescent="0.25">
      <c r="E15" s="1351" t="s">
        <v>452</v>
      </c>
      <c r="F15" s="1351"/>
      <c r="G15" s="40"/>
      <c r="H15" s="40"/>
      <c r="I15" s="1351" t="s">
        <v>451</v>
      </c>
      <c r="J15" s="1351"/>
      <c r="L15" s="40"/>
    </row>
    <row r="16" spans="2:13" x14ac:dyDescent="0.25">
      <c r="E16" s="1351"/>
      <c r="F16" s="1351"/>
      <c r="I16" s="1351"/>
      <c r="J16" s="1351"/>
    </row>
  </sheetData>
  <mergeCells count="28">
    <mergeCell ref="I15:J16"/>
    <mergeCell ref="E15:F16"/>
    <mergeCell ref="B13:D13"/>
    <mergeCell ref="E13:F13"/>
    <mergeCell ref="G13:H13"/>
    <mergeCell ref="K13:L13"/>
    <mergeCell ref="I4:J4"/>
    <mergeCell ref="I10:J10"/>
    <mergeCell ref="I11:J11"/>
    <mergeCell ref="I12:J12"/>
    <mergeCell ref="I13:J13"/>
    <mergeCell ref="B11:D11"/>
    <mergeCell ref="E11:F11"/>
    <mergeCell ref="G11:H11"/>
    <mergeCell ref="K11:L11"/>
    <mergeCell ref="B12:D12"/>
    <mergeCell ref="E12:F12"/>
    <mergeCell ref="G12:H12"/>
    <mergeCell ref="K12:L12"/>
    <mergeCell ref="B10:D10"/>
    <mergeCell ref="E10:F10"/>
    <mergeCell ref="G10:H10"/>
    <mergeCell ref="K10:L10"/>
    <mergeCell ref="B3:L3"/>
    <mergeCell ref="B4:B5"/>
    <mergeCell ref="E4:F4"/>
    <mergeCell ref="G4:H4"/>
    <mergeCell ref="K4:L4"/>
  </mergeCells>
  <conditionalFormatting sqref="F6:F7 H6:H9 L6:L9 F9">
    <cfRule type="expression" dxfId="291" priority="7">
      <formula>E6=""</formula>
    </cfRule>
    <cfRule type="expression" dxfId="290" priority="8">
      <formula>E6=MIN($E6,$G6,$K6)</formula>
    </cfRule>
  </conditionalFormatting>
  <conditionalFormatting sqref="J6:J9">
    <cfRule type="expression" dxfId="289" priority="1">
      <formula>I6=""</formula>
    </cfRule>
    <cfRule type="expression" dxfId="288" priority="2">
      <formula>I6=MIN($E6,$G6,$K6)</formula>
    </cfRule>
  </conditionalFormatting>
  <pageMargins left="0.25" right="0.25" top="0.75" bottom="0.75" header="0.3" footer="0.3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5F95A-0E27-4DD6-AFCB-68F5C7D188BC}">
  <sheetPr codeName="Hoja7"/>
  <dimension ref="A2:N15"/>
  <sheetViews>
    <sheetView showGridLines="0" workbookViewId="0">
      <selection activeCell="F4" sqref="F4:G4"/>
    </sheetView>
  </sheetViews>
  <sheetFormatPr baseColWidth="10" defaultRowHeight="12.75" x14ac:dyDescent="0.2"/>
  <cols>
    <col min="1" max="1" width="2.5703125" style="142" bestFit="1" customWidth="1"/>
    <col min="2" max="2" width="5.28515625" style="142" bestFit="1" customWidth="1"/>
    <col min="3" max="3" width="14.5703125" style="142" bestFit="1" customWidth="1"/>
    <col min="4" max="4" width="9.5703125" style="142" bestFit="1" customWidth="1"/>
    <col min="5" max="6" width="11" style="142" bestFit="1" customWidth="1"/>
    <col min="7" max="7" width="12" style="142" bestFit="1" customWidth="1"/>
    <col min="8" max="8" width="9.5703125" style="142" bestFit="1" customWidth="1"/>
    <col min="9" max="9" width="11" style="142" bestFit="1" customWidth="1"/>
    <col min="10" max="10" width="9.5703125" style="142" bestFit="1" customWidth="1"/>
    <col min="11" max="11" width="11" style="142" bestFit="1" customWidth="1"/>
    <col min="12" max="12" width="9.5703125" style="142" bestFit="1" customWidth="1"/>
    <col min="13" max="13" width="11" style="142" bestFit="1" customWidth="1"/>
    <col min="14" max="14" width="14.140625" style="143" bestFit="1" customWidth="1"/>
    <col min="15" max="15" width="13.42578125" style="142" bestFit="1" customWidth="1"/>
    <col min="16" max="16384" width="11.42578125" style="142"/>
  </cols>
  <sheetData>
    <row r="2" spans="1:14" ht="13.5" thickBot="1" x14ac:dyDescent="0.25"/>
    <row r="3" spans="1:14" s="73" customFormat="1" ht="13.5" thickBot="1" x14ac:dyDescent="0.25">
      <c r="A3" s="1220" t="s">
        <v>1</v>
      </c>
      <c r="B3" s="1221"/>
      <c r="C3" s="1221"/>
      <c r="D3" s="1222"/>
      <c r="E3" s="1222"/>
      <c r="F3" s="1222"/>
      <c r="G3" s="1222"/>
      <c r="H3" s="1222"/>
      <c r="I3" s="1222"/>
      <c r="J3" s="1222"/>
      <c r="K3" s="1222"/>
      <c r="L3" s="1222"/>
      <c r="M3" s="1223"/>
      <c r="N3" s="74"/>
    </row>
    <row r="4" spans="1:14" s="73" customFormat="1" ht="13.5" thickBot="1" x14ac:dyDescent="0.3">
      <c r="A4" s="1163" t="s">
        <v>6</v>
      </c>
      <c r="B4" s="97" t="s">
        <v>17</v>
      </c>
      <c r="C4" s="98" t="s">
        <v>73</v>
      </c>
      <c r="D4" s="1165" t="s">
        <v>49</v>
      </c>
      <c r="E4" s="1144"/>
      <c r="F4" s="1142" t="s">
        <v>53</v>
      </c>
      <c r="G4" s="1144"/>
      <c r="H4" s="1142" t="s">
        <v>52</v>
      </c>
      <c r="I4" s="1144"/>
      <c r="J4" s="1142" t="s">
        <v>51</v>
      </c>
      <c r="K4" s="1144"/>
      <c r="L4" s="1142" t="s">
        <v>72</v>
      </c>
      <c r="M4" s="1144"/>
      <c r="N4" s="74"/>
    </row>
    <row r="5" spans="1:14" s="73" customFormat="1" ht="13.5" thickBot="1" x14ac:dyDescent="0.3">
      <c r="A5" s="1164"/>
      <c r="B5" s="100" t="s">
        <v>11</v>
      </c>
      <c r="C5" s="101" t="s">
        <v>0</v>
      </c>
      <c r="D5" s="102" t="s">
        <v>14</v>
      </c>
      <c r="E5" s="140" t="s">
        <v>10</v>
      </c>
      <c r="F5" s="102" t="s">
        <v>14</v>
      </c>
      <c r="G5" s="140" t="s">
        <v>10</v>
      </c>
      <c r="H5" s="102" t="s">
        <v>14</v>
      </c>
      <c r="I5" s="104" t="s">
        <v>10</v>
      </c>
      <c r="J5" s="102" t="s">
        <v>14</v>
      </c>
      <c r="K5" s="104" t="s">
        <v>10</v>
      </c>
      <c r="L5" s="102" t="s">
        <v>14</v>
      </c>
      <c r="M5" s="104" t="s">
        <v>10</v>
      </c>
      <c r="N5" s="74"/>
    </row>
    <row r="6" spans="1:14" s="150" customFormat="1" x14ac:dyDescent="0.2">
      <c r="A6" s="80">
        <v>1</v>
      </c>
      <c r="B6" s="144">
        <v>10</v>
      </c>
      <c r="C6" s="145" t="s">
        <v>74</v>
      </c>
      <c r="D6" s="146">
        <f>+E6/B6</f>
        <v>455.96300000000002</v>
      </c>
      <c r="E6" s="147">
        <v>4559.63</v>
      </c>
      <c r="F6" s="146">
        <f>(225.4/B6)*35.87</f>
        <v>808.50979999999993</v>
      </c>
      <c r="G6" s="147">
        <f>+F6*B6</f>
        <v>8085.097999999999</v>
      </c>
      <c r="H6" s="146">
        <f>546.53*0.75</f>
        <v>409.89749999999998</v>
      </c>
      <c r="I6" s="148">
        <f>+H6*B6</f>
        <v>4098.9749999999995</v>
      </c>
      <c r="J6" s="146">
        <v>180</v>
      </c>
      <c r="K6" s="148">
        <f>+J6*B6</f>
        <v>1800</v>
      </c>
      <c r="L6" s="146">
        <v>200</v>
      </c>
      <c r="M6" s="148">
        <f>+L6*B6</f>
        <v>2000</v>
      </c>
      <c r="N6" s="149"/>
    </row>
    <row r="7" spans="1:14" s="150" customFormat="1" x14ac:dyDescent="0.2">
      <c r="A7" s="87">
        <v>2</v>
      </c>
      <c r="B7" s="151">
        <v>10</v>
      </c>
      <c r="C7" s="152" t="s">
        <v>75</v>
      </c>
      <c r="D7" s="153" t="s">
        <v>36</v>
      </c>
      <c r="E7" s="147" t="s">
        <v>36</v>
      </c>
      <c r="F7" s="153" t="s">
        <v>36</v>
      </c>
      <c r="G7" s="147" t="s">
        <v>36</v>
      </c>
      <c r="H7" s="153" t="s">
        <v>36</v>
      </c>
      <c r="I7" s="148" t="s">
        <v>36</v>
      </c>
      <c r="J7" s="153" t="s">
        <v>36</v>
      </c>
      <c r="K7" s="148" t="s">
        <v>36</v>
      </c>
      <c r="L7" s="153">
        <v>780</v>
      </c>
      <c r="M7" s="148">
        <f>+L7*B7</f>
        <v>7800</v>
      </c>
      <c r="N7" s="149"/>
    </row>
    <row r="8" spans="1:14" s="150" customFormat="1" x14ac:dyDescent="0.2">
      <c r="A8" s="87">
        <v>3</v>
      </c>
      <c r="B8" s="151">
        <v>6</v>
      </c>
      <c r="C8" s="152" t="s">
        <v>76</v>
      </c>
      <c r="D8" s="153" t="s">
        <v>36</v>
      </c>
      <c r="E8" s="147" t="s">
        <v>36</v>
      </c>
      <c r="F8" s="153">
        <f>(1235.64/B8)*35.87</f>
        <v>7387.0678000000007</v>
      </c>
      <c r="G8" s="147">
        <f t="shared" ref="G8" si="0">+F8*B8</f>
        <v>44322.406800000004</v>
      </c>
      <c r="H8" s="153">
        <f>1217.89*0.75</f>
        <v>913.41750000000002</v>
      </c>
      <c r="I8" s="148">
        <f>+H8*B8</f>
        <v>5480.5050000000001</v>
      </c>
      <c r="J8" s="153">
        <v>950</v>
      </c>
      <c r="K8" s="148">
        <f>+J8*B8</f>
        <v>5700</v>
      </c>
      <c r="L8" s="153">
        <v>870</v>
      </c>
      <c r="M8" s="148">
        <f>+L8*B8</f>
        <v>5220</v>
      </c>
      <c r="N8" s="149"/>
    </row>
    <row r="9" spans="1:14" s="150" customFormat="1" ht="13.5" thickBot="1" x14ac:dyDescent="0.25">
      <c r="A9" s="87">
        <v>4</v>
      </c>
      <c r="B9" s="151">
        <v>6</v>
      </c>
      <c r="C9" s="152" t="s">
        <v>77</v>
      </c>
      <c r="D9" s="153" t="s">
        <v>36</v>
      </c>
      <c r="E9" s="147" t="s">
        <v>36</v>
      </c>
      <c r="F9" s="153" t="s">
        <v>36</v>
      </c>
      <c r="G9" s="147" t="s">
        <v>36</v>
      </c>
      <c r="H9" s="153" t="s">
        <v>36</v>
      </c>
      <c r="I9" s="148" t="s">
        <v>36</v>
      </c>
      <c r="J9" s="153" t="s">
        <v>36</v>
      </c>
      <c r="K9" s="148" t="s">
        <v>36</v>
      </c>
      <c r="L9" s="153">
        <v>780</v>
      </c>
      <c r="M9" s="148">
        <f>+L9*B9</f>
        <v>4680</v>
      </c>
      <c r="N9" s="149"/>
    </row>
    <row r="10" spans="1:14" x14ac:dyDescent="0.2">
      <c r="A10" s="1138" t="s">
        <v>4</v>
      </c>
      <c r="B10" s="1139"/>
      <c r="C10" s="1157"/>
      <c r="D10" s="1158">
        <f>SUM(E6:E9)</f>
        <v>4559.63</v>
      </c>
      <c r="E10" s="1159"/>
      <c r="F10" s="1158">
        <f>SUM(G6:G9)</f>
        <v>52407.504800000002</v>
      </c>
      <c r="G10" s="1159"/>
      <c r="H10" s="1158">
        <f>SUM(I6:I9)</f>
        <v>9579.48</v>
      </c>
      <c r="I10" s="1160"/>
      <c r="J10" s="1158">
        <f>SUM(K6:K9)</f>
        <v>7500</v>
      </c>
      <c r="K10" s="1160"/>
      <c r="L10" s="1158">
        <f>SUM(M6:M9)</f>
        <v>19700</v>
      </c>
      <c r="M10" s="1160"/>
      <c r="N10" s="154"/>
    </row>
    <row r="11" spans="1:14" x14ac:dyDescent="0.2">
      <c r="A11" s="1149" t="s">
        <v>5</v>
      </c>
      <c r="B11" s="1150"/>
      <c r="C11" s="1172"/>
      <c r="D11" s="1173">
        <v>0</v>
      </c>
      <c r="E11" s="1174"/>
      <c r="F11" s="1227">
        <v>0.2</v>
      </c>
      <c r="G11" s="1229"/>
      <c r="H11" s="1227">
        <v>0.25</v>
      </c>
      <c r="I11" s="1228"/>
      <c r="J11" s="1227"/>
      <c r="K11" s="1228"/>
      <c r="L11" s="1227"/>
      <c r="M11" s="1228"/>
      <c r="N11" s="154"/>
    </row>
    <row r="12" spans="1:14" x14ac:dyDescent="0.2">
      <c r="A12" s="1224" t="s">
        <v>2</v>
      </c>
      <c r="B12" s="1225"/>
      <c r="C12" s="1226"/>
      <c r="D12" s="1173">
        <f>(D10-D11)*15%</f>
        <v>683.94449999999995</v>
      </c>
      <c r="E12" s="1174"/>
      <c r="F12" s="1173">
        <f>F10*15%</f>
        <v>7861.12572</v>
      </c>
      <c r="G12" s="1175"/>
      <c r="H12" s="1173">
        <f>H10*15%</f>
        <v>1436.9219999999998</v>
      </c>
      <c r="I12" s="1175"/>
      <c r="J12" s="1173"/>
      <c r="K12" s="1175"/>
      <c r="L12" s="1173"/>
      <c r="M12" s="1175"/>
    </row>
    <row r="13" spans="1:14" ht="13.5" thickBot="1" x14ac:dyDescent="0.25">
      <c r="A13" s="1232" t="s">
        <v>3</v>
      </c>
      <c r="B13" s="1233"/>
      <c r="C13" s="1234"/>
      <c r="D13" s="1230">
        <f>(D10-D11)+D12</f>
        <v>5243.5744999999997</v>
      </c>
      <c r="E13" s="1235"/>
      <c r="F13" s="1230">
        <f>F10+F12</f>
        <v>60268.630520000006</v>
      </c>
      <c r="G13" s="1231"/>
      <c r="H13" s="1230">
        <f>H10+H12</f>
        <v>11016.402</v>
      </c>
      <c r="I13" s="1231"/>
      <c r="J13" s="1230">
        <f>J10+J12</f>
        <v>7500</v>
      </c>
      <c r="K13" s="1231"/>
      <c r="L13" s="1230">
        <f>L10+L12</f>
        <v>19700</v>
      </c>
      <c r="M13" s="1231"/>
    </row>
    <row r="15" spans="1:14" x14ac:dyDescent="0.2">
      <c r="E15" s="155"/>
      <c r="F15" s="155"/>
      <c r="G15" s="155"/>
      <c r="I15" s="155"/>
      <c r="K15" s="155"/>
      <c r="M15" s="155"/>
    </row>
  </sheetData>
  <mergeCells count="31">
    <mergeCell ref="L13:M13"/>
    <mergeCell ref="H13:I13"/>
    <mergeCell ref="J13:K13"/>
    <mergeCell ref="A13:C13"/>
    <mergeCell ref="D13:E13"/>
    <mergeCell ref="F13:G13"/>
    <mergeCell ref="A10:C10"/>
    <mergeCell ref="D10:E10"/>
    <mergeCell ref="F10:G10"/>
    <mergeCell ref="L10:M10"/>
    <mergeCell ref="J10:K10"/>
    <mergeCell ref="H10:I10"/>
    <mergeCell ref="A12:C12"/>
    <mergeCell ref="D12:E12"/>
    <mergeCell ref="F12:G12"/>
    <mergeCell ref="L12:M12"/>
    <mergeCell ref="J11:K11"/>
    <mergeCell ref="J12:K12"/>
    <mergeCell ref="A11:C11"/>
    <mergeCell ref="D11:E11"/>
    <mergeCell ref="F11:G11"/>
    <mergeCell ref="L11:M11"/>
    <mergeCell ref="H11:I11"/>
    <mergeCell ref="H12:I12"/>
    <mergeCell ref="A3:M3"/>
    <mergeCell ref="A4:A5"/>
    <mergeCell ref="D4:E4"/>
    <mergeCell ref="F4:G4"/>
    <mergeCell ref="L4:M4"/>
    <mergeCell ref="J4:K4"/>
    <mergeCell ref="H4:I4"/>
  </mergeCells>
  <conditionalFormatting sqref="E6:E9 G6:G9 M6:M9">
    <cfRule type="expression" dxfId="522" priority="9">
      <formula>D6=""</formula>
    </cfRule>
    <cfRule type="expression" dxfId="521" priority="10">
      <formula>D6=MIN($D6,$F6,$L6)</formula>
    </cfRule>
  </conditionalFormatting>
  <conditionalFormatting sqref="I6:I9">
    <cfRule type="expression" dxfId="520" priority="3">
      <formula>H6=""</formula>
    </cfRule>
    <cfRule type="expression" dxfId="519" priority="4">
      <formula>H6=MIN($D6,$F6,$L6)</formula>
    </cfRule>
  </conditionalFormatting>
  <conditionalFormatting sqref="K6:K9">
    <cfRule type="expression" dxfId="518" priority="1">
      <formula>J6=""</formula>
    </cfRule>
    <cfRule type="expression" dxfId="517" priority="2">
      <formula>J6=MIN($D6,$F6,$L6)</formula>
    </cfRule>
  </conditionalFormatting>
  <pageMargins left="0.25" right="0.25" top="0.75" bottom="0.75" header="0.3" footer="0.3"/>
  <pageSetup orientation="landscape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008FD-0E4C-4682-9ED8-2BDE9EA37BAD}">
  <sheetPr codeName="Hoja70"/>
  <dimension ref="B2:K13"/>
  <sheetViews>
    <sheetView showGridLines="0" workbookViewId="0">
      <selection activeCell="I4" sqref="I4:J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1.7109375" style="1" bestFit="1" customWidth="1"/>
    <col min="5" max="5" width="11" style="1" bestFit="1" customWidth="1"/>
    <col min="6" max="6" width="14.140625" style="1" bestFit="1" customWidth="1"/>
    <col min="7" max="7" width="11" style="1" bestFit="1" customWidth="1"/>
    <col min="8" max="8" width="14.140625" style="1" bestFit="1" customWidth="1"/>
    <col min="9" max="9" width="12.28515625" style="1" bestFit="1" customWidth="1"/>
    <col min="10" max="10" width="15.425781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453</v>
      </c>
      <c r="E4" s="1252" t="s">
        <v>456</v>
      </c>
      <c r="F4" s="1251"/>
      <c r="G4" s="1248" t="s">
        <v>457</v>
      </c>
      <c r="H4" s="1251"/>
      <c r="I4" s="1248" t="s">
        <v>53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44" t="s">
        <v>10</v>
      </c>
      <c r="G5" s="31" t="s">
        <v>14</v>
      </c>
      <c r="H5" s="644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50</v>
      </c>
      <c r="D6" s="9" t="s">
        <v>454</v>
      </c>
      <c r="E6" s="24">
        <v>55</v>
      </c>
      <c r="F6" s="23">
        <f>+E6*$C6</f>
        <v>2750</v>
      </c>
      <c r="G6" s="24">
        <f>113.55-(113.55*0.15)</f>
        <v>96.517499999999998</v>
      </c>
      <c r="H6" s="23">
        <f>+G6*$C6</f>
        <v>4825.875</v>
      </c>
      <c r="I6" s="25">
        <f>(767/C6)*36.07</f>
        <v>553.31380000000001</v>
      </c>
      <c r="J6" s="27">
        <f>+I6*$C6</f>
        <v>27665.690000000002</v>
      </c>
      <c r="K6" s="7"/>
    </row>
    <row r="7" spans="2:11" s="3" customFormat="1" ht="18" thickBot="1" x14ac:dyDescent="0.35">
      <c r="B7" s="20">
        <v>2</v>
      </c>
      <c r="C7" s="17">
        <v>50</v>
      </c>
      <c r="D7" s="8" t="s">
        <v>455</v>
      </c>
      <c r="E7" s="25">
        <v>55</v>
      </c>
      <c r="F7" s="23">
        <f t="shared" ref="F7" si="0">+E7*$C7</f>
        <v>2750</v>
      </c>
      <c r="G7" s="25">
        <f>114.97-(114.97*0.15)</f>
        <v>97.724500000000006</v>
      </c>
      <c r="H7" s="23">
        <f t="shared" ref="H7" si="1">+G7*$C7</f>
        <v>4886.2250000000004</v>
      </c>
      <c r="I7" s="25">
        <f>(508.5/C7)*36.07</f>
        <v>366.83190000000002</v>
      </c>
      <c r="J7" s="27">
        <f t="shared" ref="J7" si="2">+I7*$C7</f>
        <v>18341.595000000001</v>
      </c>
      <c r="K7" s="7"/>
    </row>
    <row r="8" spans="2:11" x14ac:dyDescent="0.3">
      <c r="B8" s="1217" t="s">
        <v>4</v>
      </c>
      <c r="C8" s="1218"/>
      <c r="D8" s="1219"/>
      <c r="E8" s="1245">
        <f>SUM(F6:F7)</f>
        <v>5500</v>
      </c>
      <c r="F8" s="1246"/>
      <c r="G8" s="1245">
        <f>SUM(H6:H7)</f>
        <v>9712.1</v>
      </c>
      <c r="H8" s="1246"/>
      <c r="I8" s="1245">
        <f>SUM(J6:J7)</f>
        <v>46007.285000000003</v>
      </c>
      <c r="J8" s="1247"/>
    </row>
    <row r="9" spans="2:11" x14ac:dyDescent="0.3">
      <c r="B9" s="1205" t="s">
        <v>5</v>
      </c>
      <c r="C9" s="1206"/>
      <c r="D9" s="1207"/>
      <c r="E9" s="1242">
        <v>0</v>
      </c>
      <c r="F9" s="1243"/>
      <c r="G9" s="1283">
        <v>0.15</v>
      </c>
      <c r="H9" s="1284"/>
      <c r="I9" s="1283">
        <v>0.2</v>
      </c>
      <c r="J9" s="1322"/>
    </row>
    <row r="10" spans="2:11" x14ac:dyDescent="0.3">
      <c r="B10" s="1208" t="s">
        <v>2</v>
      </c>
      <c r="C10" s="1209"/>
      <c r="D10" s="1210"/>
      <c r="E10" s="1242">
        <f>(E8-E9)*15%</f>
        <v>825</v>
      </c>
      <c r="F10" s="1243"/>
      <c r="G10" s="1242">
        <f>(G8)*15%</f>
        <v>1456.8150000000001</v>
      </c>
      <c r="H10" s="1243"/>
      <c r="I10" s="1242">
        <f>(I8)*15%</f>
        <v>6901.0927500000007</v>
      </c>
      <c r="J10" s="1244"/>
    </row>
    <row r="11" spans="2:11" ht="18" thickBot="1" x14ac:dyDescent="0.35">
      <c r="B11" s="1202" t="s">
        <v>3</v>
      </c>
      <c r="C11" s="1203"/>
      <c r="D11" s="1204"/>
      <c r="E11" s="1253">
        <f>(E8-E9)+E10</f>
        <v>6325</v>
      </c>
      <c r="F11" s="1254"/>
      <c r="G11" s="1253">
        <f>(G8)+G10</f>
        <v>11168.915000000001</v>
      </c>
      <c r="H11" s="1254"/>
      <c r="I11" s="1253">
        <f>(I8)+I10</f>
        <v>52908.377750000007</v>
      </c>
      <c r="J11" s="1255"/>
    </row>
    <row r="13" spans="2:11" x14ac:dyDescent="0.3">
      <c r="F13" s="4"/>
      <c r="G13" s="4"/>
      <c r="H13" s="4"/>
      <c r="J13" s="4"/>
    </row>
  </sheetData>
  <mergeCells count="21">
    <mergeCell ref="B11:D11"/>
    <mergeCell ref="E11:F11"/>
    <mergeCell ref="G11:H11"/>
    <mergeCell ref="I11:J11"/>
    <mergeCell ref="B9:D9"/>
    <mergeCell ref="E9:F9"/>
    <mergeCell ref="G9:H9"/>
    <mergeCell ref="I9:J9"/>
    <mergeCell ref="B10:D10"/>
    <mergeCell ref="E10:F10"/>
    <mergeCell ref="G10:H10"/>
    <mergeCell ref="I10:J10"/>
    <mergeCell ref="B8:D8"/>
    <mergeCell ref="E8:F8"/>
    <mergeCell ref="G8:H8"/>
    <mergeCell ref="I8:J8"/>
    <mergeCell ref="B3:J3"/>
    <mergeCell ref="B4:B5"/>
    <mergeCell ref="E4:F4"/>
    <mergeCell ref="G4:H4"/>
    <mergeCell ref="I4:J4"/>
  </mergeCells>
  <conditionalFormatting sqref="F6:F7 H6:H7 J6:J7">
    <cfRule type="expression" dxfId="287" priority="5">
      <formula>E6=""</formula>
    </cfRule>
    <cfRule type="expression" dxfId="286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25927-0D85-4432-B9A5-7F6A2FCC0C4B}">
  <sheetPr codeName="Hoja71"/>
  <dimension ref="B2:G8"/>
  <sheetViews>
    <sheetView showGridLines="0" workbookViewId="0">
      <selection activeCell="D6" sqref="D6"/>
    </sheetView>
  </sheetViews>
  <sheetFormatPr baseColWidth="10" defaultRowHeight="18.75" x14ac:dyDescent="0.25"/>
  <cols>
    <col min="1" max="1" width="2.7109375" style="521" bestFit="1" customWidth="1"/>
    <col min="2" max="2" width="3.5703125" style="521" bestFit="1" customWidth="1"/>
    <col min="3" max="3" width="7.5703125" style="521" bestFit="1" customWidth="1"/>
    <col min="4" max="4" width="22.7109375" style="521" bestFit="1" customWidth="1"/>
    <col min="5" max="5" width="17.42578125" style="521" bestFit="1" customWidth="1"/>
    <col min="6" max="6" width="19.140625" style="521" bestFit="1" customWidth="1"/>
    <col min="7" max="7" width="13.42578125" style="520" bestFit="1" customWidth="1"/>
    <col min="8" max="8" width="13.42578125" style="521" bestFit="1" customWidth="1"/>
    <col min="9" max="16384" width="11.42578125" style="521"/>
  </cols>
  <sheetData>
    <row r="2" spans="2:7" ht="19.5" thickBot="1" x14ac:dyDescent="0.3"/>
    <row r="3" spans="2:7" s="662" customFormat="1" ht="19.5" thickBot="1" x14ac:dyDescent="0.3">
      <c r="B3" s="1475" t="s">
        <v>1</v>
      </c>
      <c r="C3" s="1476"/>
      <c r="D3" s="1476"/>
      <c r="E3" s="1476"/>
      <c r="F3" s="1477"/>
      <c r="G3" s="661"/>
    </row>
    <row r="4" spans="2:7" ht="19.5" thickBot="1" x14ac:dyDescent="0.3">
      <c r="B4" s="1478" t="s">
        <v>6</v>
      </c>
      <c r="C4" s="651" t="s">
        <v>17</v>
      </c>
      <c r="D4" s="652" t="s">
        <v>458</v>
      </c>
      <c r="E4" s="653" t="s">
        <v>234</v>
      </c>
      <c r="F4" s="653" t="s">
        <v>91</v>
      </c>
    </row>
    <row r="5" spans="2:7" ht="19.5" thickBot="1" x14ac:dyDescent="0.3">
      <c r="B5" s="1479"/>
      <c r="C5" s="654" t="s">
        <v>11</v>
      </c>
      <c r="D5" s="655" t="s">
        <v>0</v>
      </c>
      <c r="E5" s="656" t="s">
        <v>10</v>
      </c>
      <c r="F5" s="657" t="s">
        <v>10</v>
      </c>
    </row>
    <row r="6" spans="2:7" ht="38.25" thickBot="1" x14ac:dyDescent="0.3">
      <c r="B6" s="658">
        <v>1</v>
      </c>
      <c r="C6" s="663">
        <v>1</v>
      </c>
      <c r="D6" s="664" t="s">
        <v>233</v>
      </c>
      <c r="E6" s="665">
        <v>14500</v>
      </c>
      <c r="F6" s="666">
        <v>8000</v>
      </c>
    </row>
    <row r="7" spans="2:7" x14ac:dyDescent="0.25">
      <c r="B7" s="1480" t="s">
        <v>2</v>
      </c>
      <c r="C7" s="1481"/>
      <c r="D7" s="1482"/>
      <c r="E7" s="659">
        <v>0</v>
      </c>
      <c r="F7" s="660">
        <v>0</v>
      </c>
    </row>
    <row r="8" spans="2:7" ht="19.5" thickBot="1" x14ac:dyDescent="0.3">
      <c r="B8" s="1483" t="s">
        <v>3</v>
      </c>
      <c r="C8" s="1484"/>
      <c r="D8" s="1485"/>
      <c r="E8" s="667">
        <f>+E6</f>
        <v>14500</v>
      </c>
      <c r="F8" s="668">
        <f>+F6+F7</f>
        <v>8000</v>
      </c>
    </row>
  </sheetData>
  <mergeCells count="4">
    <mergeCell ref="B3:F3"/>
    <mergeCell ref="B4:B5"/>
    <mergeCell ref="B7:D7"/>
    <mergeCell ref="B8:D8"/>
  </mergeCells>
  <conditionalFormatting sqref="E6:F6">
    <cfRule type="expression" dxfId="285" priority="1">
      <formula>#REF!=""</formula>
    </cfRule>
    <cfRule type="expression" dxfId="284" priority="2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A65E4-2608-49A4-8D6A-CABFF7ECE4EE}">
  <sheetPr codeName="Hoja72"/>
  <dimension ref="B1:M12"/>
  <sheetViews>
    <sheetView showGridLines="0" workbookViewId="0">
      <selection activeCell="D5" sqref="D5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7.85546875" style="34" bestFit="1" customWidth="1"/>
    <col min="5" max="5" width="11.140625" style="34" bestFit="1" customWidth="1"/>
    <col min="6" max="6" width="14" style="34" bestFit="1" customWidth="1"/>
    <col min="7" max="7" width="11.140625" style="34" bestFit="1" customWidth="1"/>
    <col min="8" max="8" width="14" style="34" bestFit="1" customWidth="1"/>
    <col min="9" max="9" width="11.140625" style="34" bestFit="1" customWidth="1"/>
    <col min="10" max="10" width="14" style="34" bestFit="1" customWidth="1"/>
    <col min="11" max="11" width="11.140625" style="34" bestFit="1" customWidth="1"/>
    <col min="12" max="12" width="14" style="34" bestFit="1" customWidth="1"/>
    <col min="13" max="13" width="13.42578125" style="35" bestFit="1" customWidth="1"/>
    <col min="14" max="14" width="13.42578125" style="34" bestFit="1" customWidth="1"/>
    <col min="15" max="16384" width="11.42578125" style="34"/>
  </cols>
  <sheetData>
    <row r="1" spans="2:13" ht="16.5" thickBot="1" x14ac:dyDescent="0.3">
      <c r="B1" s="1100" t="s">
        <v>1</v>
      </c>
      <c r="C1" s="1101"/>
      <c r="D1" s="1101"/>
      <c r="E1" s="1101"/>
      <c r="F1" s="1101"/>
      <c r="G1" s="1101"/>
      <c r="H1" s="1101"/>
      <c r="I1" s="1101"/>
      <c r="J1" s="1101"/>
      <c r="K1" s="1101"/>
      <c r="L1" s="1102"/>
    </row>
    <row r="2" spans="2:13" x14ac:dyDescent="0.25">
      <c r="B2" s="1434" t="s">
        <v>6</v>
      </c>
      <c r="C2" s="505" t="s">
        <v>17</v>
      </c>
      <c r="D2" s="506" t="s">
        <v>459</v>
      </c>
      <c r="E2" s="1435" t="s">
        <v>273</v>
      </c>
      <c r="F2" s="1435"/>
      <c r="G2" s="1435" t="s">
        <v>272</v>
      </c>
      <c r="H2" s="1435"/>
      <c r="I2" s="1435" t="s">
        <v>211</v>
      </c>
      <c r="J2" s="1435"/>
      <c r="K2" s="1435" t="s">
        <v>450</v>
      </c>
      <c r="L2" s="1436"/>
    </row>
    <row r="3" spans="2:13" ht="16.5" thickBot="1" x14ac:dyDescent="0.3">
      <c r="B3" s="1385"/>
      <c r="C3" s="392" t="s">
        <v>11</v>
      </c>
      <c r="D3" s="45" t="s">
        <v>0</v>
      </c>
      <c r="E3" s="45" t="s">
        <v>14</v>
      </c>
      <c r="F3" s="45" t="s">
        <v>10</v>
      </c>
      <c r="G3" s="45" t="s">
        <v>14</v>
      </c>
      <c r="H3" s="45" t="s">
        <v>10</v>
      </c>
      <c r="I3" s="45" t="s">
        <v>14</v>
      </c>
      <c r="J3" s="45" t="s">
        <v>10</v>
      </c>
      <c r="K3" s="45" t="s">
        <v>14</v>
      </c>
      <c r="L3" s="393" t="s">
        <v>10</v>
      </c>
    </row>
    <row r="4" spans="2:13" s="346" customFormat="1" ht="31.5" x14ac:dyDescent="0.25">
      <c r="B4" s="421">
        <v>1</v>
      </c>
      <c r="C4" s="647">
        <v>100</v>
      </c>
      <c r="D4" s="589" t="s">
        <v>449</v>
      </c>
      <c r="E4" s="648">
        <v>495</v>
      </c>
      <c r="F4" s="648">
        <f t="shared" ref="F4:F5" si="0">+E4*$C4</f>
        <v>49500</v>
      </c>
      <c r="G4" s="648">
        <v>510</v>
      </c>
      <c r="H4" s="648">
        <f t="shared" ref="H4:H5" si="1">+G4*$C4</f>
        <v>51000</v>
      </c>
      <c r="I4" s="648" t="s">
        <v>36</v>
      </c>
      <c r="J4" s="648" t="s">
        <v>36</v>
      </c>
      <c r="K4" s="648">
        <v>500</v>
      </c>
      <c r="L4" s="650">
        <f>+K4*C4</f>
        <v>50000</v>
      </c>
      <c r="M4" s="345"/>
    </row>
    <row r="5" spans="2:13" s="346" customFormat="1" ht="16.5" thickBot="1" x14ac:dyDescent="0.3">
      <c r="B5" s="401">
        <v>2</v>
      </c>
      <c r="C5" s="512">
        <v>50</v>
      </c>
      <c r="D5" s="513" t="s">
        <v>395</v>
      </c>
      <c r="E5" s="514">
        <v>130</v>
      </c>
      <c r="F5" s="514">
        <f t="shared" si="0"/>
        <v>6500</v>
      </c>
      <c r="G5" s="514">
        <v>129</v>
      </c>
      <c r="H5" s="514">
        <f t="shared" si="1"/>
        <v>6450</v>
      </c>
      <c r="I5" s="514">
        <v>120</v>
      </c>
      <c r="J5" s="514">
        <f t="shared" ref="J5" si="2">+I5*$C5</f>
        <v>6000</v>
      </c>
      <c r="K5" s="514">
        <v>80</v>
      </c>
      <c r="L5" s="516">
        <f t="shared" ref="L5" si="3">+K5*$C5</f>
        <v>4000</v>
      </c>
      <c r="M5" s="345"/>
    </row>
    <row r="6" spans="2:13" x14ac:dyDescent="0.25">
      <c r="B6" s="1094" t="s">
        <v>4</v>
      </c>
      <c r="C6" s="1095"/>
      <c r="D6" s="1095"/>
      <c r="E6" s="1399">
        <f>SUM(F4:F5)</f>
        <v>56000</v>
      </c>
      <c r="F6" s="1399"/>
      <c r="G6" s="1399">
        <f>SUM(H4:H5)</f>
        <v>57450</v>
      </c>
      <c r="H6" s="1399"/>
      <c r="I6" s="1399">
        <f>SUM(J4:J5)</f>
        <v>6000</v>
      </c>
      <c r="J6" s="1399"/>
      <c r="K6" s="1399">
        <f>SUM(L4:L5)</f>
        <v>54000</v>
      </c>
      <c r="L6" s="1403"/>
    </row>
    <row r="7" spans="2:13" x14ac:dyDescent="0.25">
      <c r="B7" s="1096" t="s">
        <v>5</v>
      </c>
      <c r="C7" s="1097"/>
      <c r="D7" s="1097"/>
      <c r="E7" s="1400">
        <v>0</v>
      </c>
      <c r="F7" s="1400"/>
      <c r="G7" s="1400">
        <v>0</v>
      </c>
      <c r="H7" s="1400"/>
      <c r="I7" s="1400">
        <v>0</v>
      </c>
      <c r="J7" s="1400"/>
      <c r="K7" s="1400">
        <v>0</v>
      </c>
      <c r="L7" s="1401"/>
    </row>
    <row r="8" spans="2:13" x14ac:dyDescent="0.25">
      <c r="B8" s="1096" t="s">
        <v>2</v>
      </c>
      <c r="C8" s="1097"/>
      <c r="D8" s="1097"/>
      <c r="E8" s="1400">
        <f>(E6-E7)*15%</f>
        <v>8400</v>
      </c>
      <c r="F8" s="1400"/>
      <c r="G8" s="1400">
        <f>(G6-G7)*15%</f>
        <v>8617.5</v>
      </c>
      <c r="H8" s="1400"/>
      <c r="I8" s="1400">
        <f>(I6-I7)*15%</f>
        <v>900</v>
      </c>
      <c r="J8" s="1400"/>
      <c r="K8" s="1400">
        <v>0</v>
      </c>
      <c r="L8" s="1401"/>
    </row>
    <row r="9" spans="2:13" ht="16.5" thickBot="1" x14ac:dyDescent="0.3">
      <c r="B9" s="1098" t="s">
        <v>3</v>
      </c>
      <c r="C9" s="1099"/>
      <c r="D9" s="1099"/>
      <c r="E9" s="1437">
        <f>(E6-E7)+E8</f>
        <v>64400</v>
      </c>
      <c r="F9" s="1437"/>
      <c r="G9" s="1437">
        <f>(G6-G7)+G8</f>
        <v>66067.5</v>
      </c>
      <c r="H9" s="1437"/>
      <c r="I9" s="1437">
        <f>(I6-I7)+I8</f>
        <v>6900</v>
      </c>
      <c r="J9" s="1437"/>
      <c r="K9" s="1437">
        <f>(K6-K7)+K8</f>
        <v>54000</v>
      </c>
      <c r="L9" s="1438"/>
    </row>
    <row r="10" spans="2:13" x14ac:dyDescent="0.25">
      <c r="E10" s="1486" t="s">
        <v>452</v>
      </c>
      <c r="F10" s="1486"/>
    </row>
    <row r="11" spans="2:13" x14ac:dyDescent="0.25">
      <c r="E11" s="1351"/>
      <c r="F11" s="1351"/>
      <c r="G11" s="40"/>
      <c r="H11" s="40"/>
      <c r="I11" s="1351"/>
      <c r="J11" s="1351"/>
      <c r="L11" s="40"/>
    </row>
    <row r="12" spans="2:13" x14ac:dyDescent="0.25">
      <c r="E12" s="670"/>
      <c r="F12" s="670"/>
      <c r="I12" s="1351"/>
      <c r="J12" s="1351"/>
    </row>
  </sheetData>
  <mergeCells count="28">
    <mergeCell ref="I11:J12"/>
    <mergeCell ref="E10:F11"/>
    <mergeCell ref="B8:D8"/>
    <mergeCell ref="E8:F8"/>
    <mergeCell ref="G8:H8"/>
    <mergeCell ref="I8:J8"/>
    <mergeCell ref="K8:L8"/>
    <mergeCell ref="B9:D9"/>
    <mergeCell ref="E9:F9"/>
    <mergeCell ref="G9:H9"/>
    <mergeCell ref="I9:J9"/>
    <mergeCell ref="K9:L9"/>
    <mergeCell ref="B6:D6"/>
    <mergeCell ref="E6:F6"/>
    <mergeCell ref="G6:H6"/>
    <mergeCell ref="I6:J6"/>
    <mergeCell ref="K6:L6"/>
    <mergeCell ref="B7:D7"/>
    <mergeCell ref="E7:F7"/>
    <mergeCell ref="G7:H7"/>
    <mergeCell ref="I7:J7"/>
    <mergeCell ref="K7:L7"/>
    <mergeCell ref="B1:L1"/>
    <mergeCell ref="B2:B3"/>
    <mergeCell ref="E2:F2"/>
    <mergeCell ref="G2:H2"/>
    <mergeCell ref="I2:J2"/>
    <mergeCell ref="K2:L2"/>
  </mergeCells>
  <conditionalFormatting sqref="F5 H4:H5 L4:L5 J4:J5">
    <cfRule type="expression" dxfId="283" priority="3">
      <formula>E4=""</formula>
    </cfRule>
    <cfRule type="expression" dxfId="282" priority="4">
      <formula>E4=MIN($E4,$G4,$K4)</formula>
    </cfRule>
  </conditionalFormatting>
  <pageMargins left="0.25" right="0.25" top="0.75" bottom="0.75" header="0.3" footer="0.3"/>
  <pageSetup orientation="landscape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41A781-D2EC-414B-9D40-165C5CDAC4B4}">
  <sheetPr codeName="Hoja73"/>
  <dimension ref="B2:K25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4.7109375" style="1" bestFit="1" customWidth="1"/>
    <col min="3" max="3" width="6.7109375" style="1" bestFit="1" customWidth="1"/>
    <col min="4" max="4" width="28.5703125" style="1" bestFit="1" customWidth="1"/>
    <col min="5" max="10" width="12.285156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460</v>
      </c>
      <c r="E4" s="1252" t="s">
        <v>450</v>
      </c>
      <c r="F4" s="1251"/>
      <c r="G4" s="1248" t="s">
        <v>474</v>
      </c>
      <c r="H4" s="1251"/>
      <c r="I4" s="1248" t="s">
        <v>486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69" t="s">
        <v>10</v>
      </c>
      <c r="G5" s="31" t="s">
        <v>14</v>
      </c>
      <c r="H5" s="669" t="s">
        <v>10</v>
      </c>
      <c r="I5" s="31" t="s">
        <v>14</v>
      </c>
      <c r="J5" s="32" t="s">
        <v>10</v>
      </c>
      <c r="K5" s="6"/>
    </row>
    <row r="6" spans="2:11" s="3" customFormat="1" x14ac:dyDescent="0.3">
      <c r="B6" s="19">
        <v>1</v>
      </c>
      <c r="C6" s="16">
        <v>1</v>
      </c>
      <c r="D6" s="671" t="s">
        <v>461</v>
      </c>
      <c r="E6" s="24">
        <v>562.5</v>
      </c>
      <c r="F6" s="23">
        <f>+E6*$C6</f>
        <v>562.5</v>
      </c>
      <c r="G6" s="24" t="s">
        <v>36</v>
      </c>
      <c r="H6" s="23" t="s">
        <v>36</v>
      </c>
      <c r="I6" s="24">
        <f>12*36.05</f>
        <v>432.59999999999997</v>
      </c>
      <c r="J6" s="27">
        <f>+I6*$C6</f>
        <v>432.59999999999997</v>
      </c>
      <c r="K6" s="7"/>
    </row>
    <row r="7" spans="2:11" s="3" customFormat="1" x14ac:dyDescent="0.3">
      <c r="B7" s="20">
        <v>2</v>
      </c>
      <c r="C7" s="17">
        <v>2</v>
      </c>
      <c r="D7" s="672" t="s">
        <v>462</v>
      </c>
      <c r="E7" s="25">
        <v>17.82</v>
      </c>
      <c r="F7" s="23">
        <f>+E7*C7</f>
        <v>35.64</v>
      </c>
      <c r="G7" s="25">
        <v>11.02</v>
      </c>
      <c r="H7" s="23">
        <f t="shared" ref="H7:H19" si="0">+G7*$C7</f>
        <v>22.04</v>
      </c>
      <c r="I7" s="25" t="s">
        <v>36</v>
      </c>
      <c r="J7" s="27" t="s">
        <v>36</v>
      </c>
      <c r="K7" s="7"/>
    </row>
    <row r="8" spans="2:11" s="3" customFormat="1" x14ac:dyDescent="0.3">
      <c r="B8" s="20">
        <v>3</v>
      </c>
      <c r="C8" s="17">
        <v>2</v>
      </c>
      <c r="D8" s="672" t="s">
        <v>463</v>
      </c>
      <c r="E8" s="25">
        <v>20.79</v>
      </c>
      <c r="F8" s="23">
        <f>+E8*C8</f>
        <v>41.58</v>
      </c>
      <c r="G8" s="25">
        <v>27.14</v>
      </c>
      <c r="H8" s="23">
        <f t="shared" ref="H8:H9" si="1">+G8*$C8</f>
        <v>54.28</v>
      </c>
      <c r="I8" s="25" t="s">
        <v>36</v>
      </c>
      <c r="J8" s="27" t="s">
        <v>36</v>
      </c>
      <c r="K8" s="7"/>
    </row>
    <row r="9" spans="2:11" s="3" customFormat="1" x14ac:dyDescent="0.3">
      <c r="B9" s="20">
        <v>4</v>
      </c>
      <c r="C9" s="17">
        <v>10</v>
      </c>
      <c r="D9" s="672" t="s">
        <v>475</v>
      </c>
      <c r="E9" s="25">
        <v>2.7</v>
      </c>
      <c r="F9" s="23">
        <f t="shared" ref="F9" si="2">+E9*$C9</f>
        <v>27</v>
      </c>
      <c r="G9" s="25">
        <v>5.13</v>
      </c>
      <c r="H9" s="23">
        <f t="shared" si="1"/>
        <v>51.3</v>
      </c>
      <c r="I9" s="25" t="s">
        <v>36</v>
      </c>
      <c r="J9" s="27" t="s">
        <v>36</v>
      </c>
      <c r="K9" s="7"/>
    </row>
    <row r="10" spans="2:11" s="3" customFormat="1" x14ac:dyDescent="0.3">
      <c r="B10" s="19">
        <v>5</v>
      </c>
      <c r="C10" s="16">
        <v>2</v>
      </c>
      <c r="D10" s="671" t="s">
        <v>464</v>
      </c>
      <c r="E10" s="24">
        <v>16.37</v>
      </c>
      <c r="F10" s="23">
        <f>+E10*$C10</f>
        <v>32.74</v>
      </c>
      <c r="G10" s="24">
        <v>13.08</v>
      </c>
      <c r="H10" s="23">
        <f>+G10*$C10</f>
        <v>26.16</v>
      </c>
      <c r="I10" s="25" t="s">
        <v>36</v>
      </c>
      <c r="J10" s="27" t="s">
        <v>36</v>
      </c>
      <c r="K10" s="7"/>
    </row>
    <row r="11" spans="2:11" s="3" customFormat="1" x14ac:dyDescent="0.3">
      <c r="B11" s="20">
        <v>6</v>
      </c>
      <c r="C11" s="17">
        <v>2</v>
      </c>
      <c r="D11" s="672" t="s">
        <v>465</v>
      </c>
      <c r="E11" s="25">
        <v>16.440000000000001</v>
      </c>
      <c r="F11" s="23">
        <f t="shared" ref="F11:F12" si="3">+E11*$C11</f>
        <v>32.880000000000003</v>
      </c>
      <c r="G11" s="25">
        <v>13.08</v>
      </c>
      <c r="H11" s="23">
        <f t="shared" ref="H11" si="4">+G11*$C11</f>
        <v>26.16</v>
      </c>
      <c r="I11" s="25" t="s">
        <v>36</v>
      </c>
      <c r="J11" s="27" t="s">
        <v>36</v>
      </c>
      <c r="K11" s="7"/>
    </row>
    <row r="12" spans="2:11" s="3" customFormat="1" x14ac:dyDescent="0.3">
      <c r="B12" s="20">
        <v>8</v>
      </c>
      <c r="C12" s="17">
        <v>1</v>
      </c>
      <c r="D12" s="672" t="s">
        <v>466</v>
      </c>
      <c r="E12" s="25">
        <v>207.9</v>
      </c>
      <c r="F12" s="23">
        <f t="shared" si="3"/>
        <v>207.9</v>
      </c>
      <c r="G12" s="25" t="s">
        <v>36</v>
      </c>
      <c r="H12" s="23" t="s">
        <v>36</v>
      </c>
      <c r="I12" s="25" t="s">
        <v>36</v>
      </c>
      <c r="J12" s="27" t="s">
        <v>36</v>
      </c>
      <c r="K12" s="7"/>
    </row>
    <row r="13" spans="2:11" s="3" customFormat="1" x14ac:dyDescent="0.3">
      <c r="B13" s="19">
        <v>9</v>
      </c>
      <c r="C13" s="17">
        <v>1</v>
      </c>
      <c r="D13" s="672" t="s">
        <v>467</v>
      </c>
      <c r="E13" s="25" t="s">
        <v>36</v>
      </c>
      <c r="F13" s="23" t="s">
        <v>36</v>
      </c>
      <c r="G13" s="25" t="s">
        <v>36</v>
      </c>
      <c r="H13" s="23" t="s">
        <v>36</v>
      </c>
      <c r="I13" s="25">
        <f>12*36.05</f>
        <v>432.59999999999997</v>
      </c>
      <c r="J13" s="27">
        <f t="shared" ref="J13:J14" si="5">+I13*$C13</f>
        <v>432.59999999999997</v>
      </c>
      <c r="K13" s="7"/>
    </row>
    <row r="14" spans="2:11" s="3" customFormat="1" x14ac:dyDescent="0.3">
      <c r="B14" s="20">
        <v>10</v>
      </c>
      <c r="C14" s="17">
        <v>1</v>
      </c>
      <c r="D14" s="672" t="s">
        <v>468</v>
      </c>
      <c r="E14" s="25">
        <v>179.64</v>
      </c>
      <c r="F14" s="23">
        <f t="shared" ref="F14" si="6">+E14*$C14</f>
        <v>179.64</v>
      </c>
      <c r="G14" s="25">
        <v>315</v>
      </c>
      <c r="H14" s="23">
        <f t="shared" si="0"/>
        <v>315</v>
      </c>
      <c r="I14" s="25">
        <f>25*36.05</f>
        <v>901.24999999999989</v>
      </c>
      <c r="J14" s="27">
        <f t="shared" si="5"/>
        <v>901.24999999999989</v>
      </c>
      <c r="K14" s="7"/>
    </row>
    <row r="15" spans="2:11" s="3" customFormat="1" x14ac:dyDescent="0.3">
      <c r="B15" s="20">
        <v>11</v>
      </c>
      <c r="C15" s="16">
        <v>1</v>
      </c>
      <c r="D15" s="671" t="s">
        <v>469</v>
      </c>
      <c r="E15" s="24">
        <v>195.67</v>
      </c>
      <c r="F15" s="23">
        <f>+E15*$C15</f>
        <v>195.67</v>
      </c>
      <c r="G15" s="24">
        <v>296.67</v>
      </c>
      <c r="H15" s="23">
        <f>+G15*$C15</f>
        <v>296.67</v>
      </c>
      <c r="I15" s="24">
        <f>9*36.05</f>
        <v>324.45</v>
      </c>
      <c r="J15" s="27">
        <f>+I15*$C15</f>
        <v>324.45</v>
      </c>
      <c r="K15" s="7"/>
    </row>
    <row r="16" spans="2:11" s="3" customFormat="1" x14ac:dyDescent="0.3">
      <c r="B16" s="20">
        <v>12</v>
      </c>
      <c r="C16" s="17">
        <v>2</v>
      </c>
      <c r="D16" s="672" t="s">
        <v>470</v>
      </c>
      <c r="E16" s="25">
        <v>45.42</v>
      </c>
      <c r="F16" s="23">
        <f t="shared" ref="F16:F18" si="7">+E16*$C16</f>
        <v>90.84</v>
      </c>
      <c r="G16" s="25">
        <v>38.450000000000003</v>
      </c>
      <c r="H16" s="23">
        <f t="shared" ref="H16:H18" si="8">+G16*$C16</f>
        <v>76.900000000000006</v>
      </c>
      <c r="I16" s="25" t="s">
        <v>36</v>
      </c>
      <c r="J16" s="27" t="s">
        <v>36</v>
      </c>
      <c r="K16" s="7"/>
    </row>
    <row r="17" spans="2:11" s="3" customFormat="1" x14ac:dyDescent="0.3">
      <c r="B17" s="19">
        <v>13</v>
      </c>
      <c r="C17" s="17">
        <v>3</v>
      </c>
      <c r="D17" s="672" t="s">
        <v>471</v>
      </c>
      <c r="E17" s="25">
        <v>6.09</v>
      </c>
      <c r="F17" s="23">
        <f t="shared" si="7"/>
        <v>18.27</v>
      </c>
      <c r="G17" s="25">
        <v>5.43</v>
      </c>
      <c r="H17" s="23">
        <f t="shared" si="8"/>
        <v>16.29</v>
      </c>
      <c r="I17" s="25" t="s">
        <v>36</v>
      </c>
      <c r="J17" s="27" t="s">
        <v>36</v>
      </c>
      <c r="K17" s="7"/>
    </row>
    <row r="18" spans="2:11" s="3" customFormat="1" x14ac:dyDescent="0.3">
      <c r="B18" s="20">
        <v>14</v>
      </c>
      <c r="C18" s="17">
        <v>2</v>
      </c>
      <c r="D18" s="672" t="s">
        <v>472</v>
      </c>
      <c r="E18" s="25">
        <v>52.89</v>
      </c>
      <c r="F18" s="23">
        <f t="shared" si="7"/>
        <v>105.78</v>
      </c>
      <c r="G18" s="25">
        <v>46.42</v>
      </c>
      <c r="H18" s="23">
        <f t="shared" si="8"/>
        <v>92.84</v>
      </c>
      <c r="I18" s="25" t="s">
        <v>36</v>
      </c>
      <c r="J18" s="27" t="s">
        <v>36</v>
      </c>
      <c r="K18" s="7"/>
    </row>
    <row r="19" spans="2:11" s="3" customFormat="1" ht="18" thickBot="1" x14ac:dyDescent="0.35">
      <c r="B19" s="20">
        <v>15</v>
      </c>
      <c r="C19" s="18">
        <v>3</v>
      </c>
      <c r="D19" s="673" t="s">
        <v>473</v>
      </c>
      <c r="E19" s="26">
        <v>31.05</v>
      </c>
      <c r="F19" s="23">
        <f>+E19*$C19</f>
        <v>93.15</v>
      </c>
      <c r="G19" s="26">
        <v>50</v>
      </c>
      <c r="H19" s="23">
        <f t="shared" si="0"/>
        <v>150</v>
      </c>
      <c r="I19" s="25" t="s">
        <v>36</v>
      </c>
      <c r="J19" s="27" t="s">
        <v>36</v>
      </c>
      <c r="K19" s="7"/>
    </row>
    <row r="20" spans="2:11" x14ac:dyDescent="0.3">
      <c r="B20" s="1217" t="s">
        <v>4</v>
      </c>
      <c r="C20" s="1218"/>
      <c r="D20" s="1219"/>
      <c r="E20" s="1245">
        <f>SUM(F6:F19)</f>
        <v>1623.5900000000001</v>
      </c>
      <c r="F20" s="1246"/>
      <c r="G20" s="1245">
        <f>SUM(H6:H19)</f>
        <v>1127.6399999999999</v>
      </c>
      <c r="H20" s="1246"/>
      <c r="I20" s="1245">
        <f>SUM(J6:J19)</f>
        <v>2090.8999999999996</v>
      </c>
      <c r="J20" s="1247"/>
    </row>
    <row r="21" spans="2:11" x14ac:dyDescent="0.3">
      <c r="B21" s="1205" t="s">
        <v>5</v>
      </c>
      <c r="C21" s="1206"/>
      <c r="D21" s="1207"/>
      <c r="E21" s="1242">
        <v>0</v>
      </c>
      <c r="F21" s="1243"/>
      <c r="G21" s="1242">
        <v>0</v>
      </c>
      <c r="H21" s="1243"/>
      <c r="I21" s="1242">
        <v>0</v>
      </c>
      <c r="J21" s="1244"/>
    </row>
    <row r="22" spans="2:11" x14ac:dyDescent="0.3">
      <c r="B22" s="1208" t="s">
        <v>2</v>
      </c>
      <c r="C22" s="1209"/>
      <c r="D22" s="1210"/>
      <c r="E22" s="1242">
        <v>0</v>
      </c>
      <c r="F22" s="1243"/>
      <c r="G22" s="1242">
        <v>0</v>
      </c>
      <c r="H22" s="1243"/>
      <c r="I22" s="1242">
        <v>0</v>
      </c>
      <c r="J22" s="1244"/>
    </row>
    <row r="23" spans="2:11" ht="18" thickBot="1" x14ac:dyDescent="0.35">
      <c r="B23" s="1202" t="s">
        <v>3</v>
      </c>
      <c r="C23" s="1203"/>
      <c r="D23" s="1204"/>
      <c r="E23" s="1253">
        <f>(E20-E21)+E22</f>
        <v>1623.5900000000001</v>
      </c>
      <c r="F23" s="1254"/>
      <c r="G23" s="1253">
        <f>(G20-G21)+G22</f>
        <v>1127.6399999999999</v>
      </c>
      <c r="H23" s="1254"/>
      <c r="I23" s="1253">
        <f>(I20-I21)+I22</f>
        <v>2090.8999999999996</v>
      </c>
      <c r="J23" s="1255"/>
    </row>
    <row r="25" spans="2:11" x14ac:dyDescent="0.3">
      <c r="F25" s="4"/>
      <c r="G25" s="4"/>
      <c r="H25" s="4"/>
      <c r="J25" s="4"/>
    </row>
  </sheetData>
  <mergeCells count="21">
    <mergeCell ref="B20:D20"/>
    <mergeCell ref="E20:F20"/>
    <mergeCell ref="G20:H20"/>
    <mergeCell ref="I20:J20"/>
    <mergeCell ref="B3:J3"/>
    <mergeCell ref="B4:B5"/>
    <mergeCell ref="E4:F4"/>
    <mergeCell ref="G4:H4"/>
    <mergeCell ref="I4:J4"/>
    <mergeCell ref="B23:D23"/>
    <mergeCell ref="E23:F23"/>
    <mergeCell ref="G23:H23"/>
    <mergeCell ref="I23:J23"/>
    <mergeCell ref="B21:D21"/>
    <mergeCell ref="E21:F21"/>
    <mergeCell ref="G21:H21"/>
    <mergeCell ref="I21:J21"/>
    <mergeCell ref="B22:D22"/>
    <mergeCell ref="E22:F22"/>
    <mergeCell ref="G22:H22"/>
    <mergeCell ref="I22:J22"/>
  </mergeCells>
  <conditionalFormatting sqref="F6:F7 F19 J6:J14 F10:F14 H10:H12">
    <cfRule type="expression" dxfId="281" priority="23">
      <formula>E6=""</formula>
    </cfRule>
    <cfRule type="expression" dxfId="280" priority="24">
      <formula>E6=MIN($E6,$G6,$I6)</formula>
    </cfRule>
  </conditionalFormatting>
  <conditionalFormatting sqref="H6:H7 H19 H13:H14">
    <cfRule type="expression" dxfId="279" priority="21">
      <formula>G6=""</formula>
    </cfRule>
    <cfRule type="expression" dxfId="278" priority="22">
      <formula>G6=MIN($E6,$G6,$I6)</formula>
    </cfRule>
  </conditionalFormatting>
  <conditionalFormatting sqref="F15:F18">
    <cfRule type="expression" dxfId="277" priority="17">
      <formula>E15=""</formula>
    </cfRule>
    <cfRule type="expression" dxfId="276" priority="18">
      <formula>E15=MIN($E15,$G15,$I15)</formula>
    </cfRule>
  </conditionalFormatting>
  <conditionalFormatting sqref="H15:H18">
    <cfRule type="expression" dxfId="275" priority="15">
      <formula>G15=""</formula>
    </cfRule>
    <cfRule type="expression" dxfId="274" priority="16">
      <formula>G15=MIN($E15,$G15,$I15)</formula>
    </cfRule>
  </conditionalFormatting>
  <conditionalFormatting sqref="J15:J19">
    <cfRule type="expression" dxfId="273" priority="13">
      <formula>I15=""</formula>
    </cfRule>
    <cfRule type="expression" dxfId="272" priority="14">
      <formula>I15=MIN($E15,$G15,$I15)</formula>
    </cfRule>
  </conditionalFormatting>
  <conditionalFormatting sqref="F8:F9">
    <cfRule type="expression" dxfId="271" priority="11">
      <formula>E8=""</formula>
    </cfRule>
    <cfRule type="expression" dxfId="270" priority="12">
      <formula>E8=MIN($E8,$G8,$I8)</formula>
    </cfRule>
  </conditionalFormatting>
  <conditionalFormatting sqref="H8:H9">
    <cfRule type="expression" dxfId="269" priority="9">
      <formula>G8=""</formula>
    </cfRule>
    <cfRule type="expression" dxfId="268" priority="10">
      <formula>G8=MIN($E8,$G8,$I8)</formula>
    </cfRule>
  </conditionalFormatting>
  <pageMargins left="0.25" right="0.25" top="0.75" bottom="0.75" header="0.3" footer="0.3"/>
  <pageSetup orientation="landscape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598EF-FF92-4331-9F42-0200EC1ECBCA}">
  <sheetPr codeName="Hoja74"/>
  <dimension ref="B2:I12"/>
  <sheetViews>
    <sheetView showGridLines="0" workbookViewId="0">
      <selection activeCell="D2" sqref="D2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28515625" style="2" customWidth="1"/>
    <col min="5" max="5" width="9.5703125" style="2" bestFit="1" customWidth="1"/>
    <col min="6" max="6" width="10.85546875" style="2" bestFit="1" customWidth="1"/>
    <col min="7" max="7" width="9.5703125" style="2" bestFit="1" customWidth="1"/>
    <col min="8" max="8" width="10.85546875" style="2" bestFit="1" customWidth="1"/>
    <col min="9" max="9" width="14" style="6" bestFit="1" customWidth="1"/>
    <col min="10" max="10" width="13.42578125" style="2" bestFit="1" customWidth="1"/>
    <col min="11" max="16384" width="11.4257812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328"/>
      <c r="H3" s="1251"/>
    </row>
    <row r="4" spans="2:9" ht="18" thickBot="1" x14ac:dyDescent="0.3">
      <c r="B4" s="1215" t="s">
        <v>6</v>
      </c>
      <c r="C4" s="29" t="s">
        <v>17</v>
      </c>
      <c r="D4" s="30" t="s">
        <v>476</v>
      </c>
      <c r="E4" s="1252" t="s">
        <v>227</v>
      </c>
      <c r="F4" s="1251"/>
      <c r="G4" s="1252" t="s">
        <v>228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674" t="s">
        <v>10</v>
      </c>
      <c r="G5" s="31" t="s">
        <v>14</v>
      </c>
      <c r="H5" s="32" t="s">
        <v>10</v>
      </c>
    </row>
    <row r="6" spans="2:9" s="157" customFormat="1" ht="18" thickBot="1" x14ac:dyDescent="0.3">
      <c r="B6" s="19">
        <v>1</v>
      </c>
      <c r="C6" s="158">
        <v>10</v>
      </c>
      <c r="D6" s="159" t="s">
        <v>477</v>
      </c>
      <c r="E6" s="311">
        <f>247/C6</f>
        <v>24.7</v>
      </c>
      <c r="F6" s="312">
        <f>+E6*$C6</f>
        <v>247</v>
      </c>
      <c r="G6" s="311">
        <v>16.440000000000001</v>
      </c>
      <c r="H6" s="313">
        <f>+G6*C6</f>
        <v>164.4</v>
      </c>
      <c r="I6" s="302"/>
    </row>
    <row r="7" spans="2:9" x14ac:dyDescent="0.25">
      <c r="B7" s="1217" t="s">
        <v>4</v>
      </c>
      <c r="C7" s="1218"/>
      <c r="D7" s="1219"/>
      <c r="E7" s="1329">
        <f>SUM(F6:F6)</f>
        <v>247</v>
      </c>
      <c r="F7" s="1330"/>
      <c r="G7" s="1329">
        <f>SUM(H6:H6)</f>
        <v>164.4</v>
      </c>
      <c r="H7" s="1331"/>
    </row>
    <row r="8" spans="2:9" x14ac:dyDescent="0.25">
      <c r="B8" s="1205" t="s">
        <v>5</v>
      </c>
      <c r="C8" s="1206"/>
      <c r="D8" s="1207"/>
      <c r="E8" s="1283">
        <v>0.05</v>
      </c>
      <c r="F8" s="1284"/>
      <c r="G8" s="1324">
        <v>0</v>
      </c>
      <c r="H8" s="1325"/>
    </row>
    <row r="9" spans="2:9" x14ac:dyDescent="0.25">
      <c r="B9" s="1205" t="s">
        <v>2</v>
      </c>
      <c r="C9" s="1206"/>
      <c r="D9" s="1207"/>
      <c r="E9" s="1324">
        <f>(E7)*15%</f>
        <v>37.049999999999997</v>
      </c>
      <c r="F9" s="1333"/>
      <c r="G9" s="1324">
        <f>(G7-G8)*15%</f>
        <v>24.66</v>
      </c>
      <c r="H9" s="1325"/>
    </row>
    <row r="10" spans="2:9" ht="18" thickBot="1" x14ac:dyDescent="0.3">
      <c r="B10" s="1236" t="s">
        <v>3</v>
      </c>
      <c r="C10" s="1237"/>
      <c r="D10" s="1238"/>
      <c r="E10" s="1326">
        <f>(E7)+E9</f>
        <v>284.05</v>
      </c>
      <c r="F10" s="1332"/>
      <c r="G10" s="1326">
        <f>(G7-G8)+G9</f>
        <v>189.06</v>
      </c>
      <c r="H10" s="1327"/>
    </row>
    <row r="12" spans="2:9" x14ac:dyDescent="0.25">
      <c r="F12" s="164"/>
      <c r="H12" s="164"/>
    </row>
  </sheetData>
  <mergeCells count="16">
    <mergeCell ref="B3:H3"/>
    <mergeCell ref="B4:B5"/>
    <mergeCell ref="E4:F4"/>
    <mergeCell ref="G4:H4"/>
    <mergeCell ref="B7:D7"/>
    <mergeCell ref="E7:F7"/>
    <mergeCell ref="G7:H7"/>
    <mergeCell ref="B10:D10"/>
    <mergeCell ref="E10:F10"/>
    <mergeCell ref="G10:H10"/>
    <mergeCell ref="B8:D8"/>
    <mergeCell ref="E8:F8"/>
    <mergeCell ref="G8:H8"/>
    <mergeCell ref="B9:D9"/>
    <mergeCell ref="E9:F9"/>
    <mergeCell ref="G9:H9"/>
  </mergeCells>
  <conditionalFormatting sqref="F6 H6">
    <cfRule type="expression" dxfId="267" priority="1">
      <formula>E6=""</formula>
    </cfRule>
    <cfRule type="expression" dxfId="266" priority="2">
      <formula>E6=MIN($E6,#REF!,#REF!)</formula>
    </cfRule>
  </conditionalFormatting>
  <pageMargins left="0.25" right="0.25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FEF7B-F692-4024-A78E-AE3B7A7652E9}">
  <sheetPr codeName="Hoja75"/>
  <dimension ref="B2:I16"/>
  <sheetViews>
    <sheetView showGridLines="0" workbookViewId="0">
      <selection activeCell="E4" sqref="E4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1.140625" style="2" bestFit="1" customWidth="1"/>
    <col min="5" max="6" width="14.140625" style="2" bestFit="1" customWidth="1"/>
    <col min="7" max="7" width="14" style="6" bestFit="1" customWidth="1"/>
    <col min="8" max="8" width="13.42578125" style="2" bestFit="1" customWidth="1"/>
    <col min="9" max="16384" width="11.4257812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1"/>
    </row>
    <row r="4" spans="2:9" ht="18" thickBot="1" x14ac:dyDescent="0.3">
      <c r="B4" s="1215" t="s">
        <v>6</v>
      </c>
      <c r="C4" s="29" t="s">
        <v>17</v>
      </c>
      <c r="D4" s="30" t="s">
        <v>478</v>
      </c>
      <c r="E4" s="676" t="s">
        <v>53</v>
      </c>
      <c r="F4" s="676" t="s">
        <v>329</v>
      </c>
      <c r="I4" s="164"/>
    </row>
    <row r="5" spans="2:9" ht="18" thickBot="1" x14ac:dyDescent="0.3">
      <c r="B5" s="1216"/>
      <c r="C5" s="33" t="s">
        <v>11</v>
      </c>
      <c r="D5" s="21" t="s">
        <v>0</v>
      </c>
      <c r="E5" s="677" t="s">
        <v>10</v>
      </c>
      <c r="F5" s="32" t="s">
        <v>10</v>
      </c>
    </row>
    <row r="6" spans="2:9" s="157" customFormat="1" ht="18" thickBot="1" x14ac:dyDescent="0.3">
      <c r="B6" s="682">
        <v>1</v>
      </c>
      <c r="C6" s="683">
        <v>1</v>
      </c>
      <c r="D6" s="684" t="s">
        <v>479</v>
      </c>
      <c r="E6" s="264">
        <f>181.62*36.07</f>
        <v>6551.0334000000003</v>
      </c>
      <c r="F6" s="265">
        <v>4900</v>
      </c>
      <c r="G6" s="302"/>
    </row>
    <row r="7" spans="2:9" x14ac:dyDescent="0.25">
      <c r="B7" s="1217" t="s">
        <v>5</v>
      </c>
      <c r="C7" s="1218"/>
      <c r="D7" s="1218"/>
      <c r="E7" s="685">
        <v>0.2</v>
      </c>
      <c r="F7" s="675">
        <v>0</v>
      </c>
    </row>
    <row r="8" spans="2:9" x14ac:dyDescent="0.25">
      <c r="B8" s="1205" t="s">
        <v>2</v>
      </c>
      <c r="C8" s="1206"/>
      <c r="D8" s="1206"/>
      <c r="E8" s="680">
        <f>+E6*0.15</f>
        <v>982.65500999999995</v>
      </c>
      <c r="F8" s="681">
        <v>0</v>
      </c>
    </row>
    <row r="9" spans="2:9" ht="18" thickBot="1" x14ac:dyDescent="0.3">
      <c r="B9" s="1236" t="s">
        <v>3</v>
      </c>
      <c r="C9" s="1237"/>
      <c r="D9" s="1237"/>
      <c r="E9" s="678">
        <f>+E8+E6</f>
        <v>7533.6884100000007</v>
      </c>
      <c r="F9" s="679">
        <f>+F6</f>
        <v>4900</v>
      </c>
    </row>
    <row r="10" spans="2:9" ht="18" thickBot="1" x14ac:dyDescent="0.3"/>
    <row r="11" spans="2:9" ht="18" thickBot="1" x14ac:dyDescent="0.3">
      <c r="B11" s="1215" t="s">
        <v>6</v>
      </c>
      <c r="C11" s="29" t="s">
        <v>17</v>
      </c>
      <c r="D11" s="30" t="s">
        <v>478</v>
      </c>
      <c r="E11" s="676" t="s">
        <v>481</v>
      </c>
      <c r="F11" s="676" t="s">
        <v>482</v>
      </c>
    </row>
    <row r="12" spans="2:9" ht="18" thickBot="1" x14ac:dyDescent="0.3">
      <c r="B12" s="1216"/>
      <c r="C12" s="33" t="s">
        <v>11</v>
      </c>
      <c r="D12" s="21" t="s">
        <v>0</v>
      </c>
      <c r="E12" s="677" t="s">
        <v>10</v>
      </c>
      <c r="F12" s="32" t="s">
        <v>10</v>
      </c>
    </row>
    <row r="13" spans="2:9" ht="18" thickBot="1" x14ac:dyDescent="0.3">
      <c r="B13" s="682">
        <v>1</v>
      </c>
      <c r="C13" s="683">
        <v>1</v>
      </c>
      <c r="D13" s="684" t="s">
        <v>480</v>
      </c>
      <c r="E13" s="264">
        <v>2450</v>
      </c>
      <c r="F13" s="265">
        <v>7500</v>
      </c>
    </row>
    <row r="14" spans="2:9" x14ac:dyDescent="0.25">
      <c r="B14" s="1217" t="s">
        <v>5</v>
      </c>
      <c r="C14" s="1218"/>
      <c r="D14" s="1218"/>
      <c r="E14" s="685">
        <v>0</v>
      </c>
      <c r="F14" s="675">
        <v>0</v>
      </c>
    </row>
    <row r="15" spans="2:9" x14ac:dyDescent="0.25">
      <c r="B15" s="1205" t="s">
        <v>2</v>
      </c>
      <c r="C15" s="1206"/>
      <c r="D15" s="1206"/>
      <c r="E15" s="680">
        <v>0</v>
      </c>
      <c r="F15" s="681">
        <f>+F13*0.15</f>
        <v>1125</v>
      </c>
    </row>
    <row r="16" spans="2:9" ht="18" thickBot="1" x14ac:dyDescent="0.3">
      <c r="B16" s="1236" t="s">
        <v>3</v>
      </c>
      <c r="C16" s="1237"/>
      <c r="D16" s="1237"/>
      <c r="E16" s="678">
        <f>+E15+E13</f>
        <v>2450</v>
      </c>
      <c r="F16" s="679">
        <f>+F13+F15</f>
        <v>8625</v>
      </c>
    </row>
  </sheetData>
  <mergeCells count="9">
    <mergeCell ref="B3:F3"/>
    <mergeCell ref="B4:B5"/>
    <mergeCell ref="B15:D15"/>
    <mergeCell ref="B16:D16"/>
    <mergeCell ref="B9:D9"/>
    <mergeCell ref="B11:B12"/>
    <mergeCell ref="B14:D14"/>
    <mergeCell ref="B7:D7"/>
    <mergeCell ref="B8:D8"/>
  </mergeCells>
  <conditionalFormatting sqref="E6">
    <cfRule type="expression" dxfId="265" priority="5">
      <formula>#REF!=""</formula>
    </cfRule>
    <cfRule type="expression" dxfId="264" priority="6">
      <formula>#REF!=MIN(#REF!,#REF!,#REF!)</formula>
    </cfRule>
  </conditionalFormatting>
  <conditionalFormatting sqref="F6">
    <cfRule type="expression" dxfId="263" priority="192">
      <formula>#REF!=""</formula>
    </cfRule>
    <cfRule type="expression" dxfId="262" priority="193">
      <formula>#REF!=MIN(#REF!,#REF!,#REF!)</formula>
    </cfRule>
  </conditionalFormatting>
  <conditionalFormatting sqref="E13">
    <cfRule type="expression" dxfId="261" priority="1">
      <formula>#REF!=""</formula>
    </cfRule>
    <cfRule type="expression" dxfId="260" priority="2">
      <formula>#REF!=MIN(#REF!,#REF!,#REF!)</formula>
    </cfRule>
  </conditionalFormatting>
  <conditionalFormatting sqref="F13">
    <cfRule type="expression" dxfId="259" priority="3">
      <formula>#REF!=""</formula>
    </cfRule>
    <cfRule type="expression" dxfId="258" priority="4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AFC8DB-7C07-487E-A887-42E6630AC44E}">
  <sheetPr codeName="Hoja76"/>
  <dimension ref="B2:K13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7.85546875" style="34" bestFit="1" customWidth="1"/>
    <col min="5" max="5" width="11.140625" style="34" bestFit="1" customWidth="1"/>
    <col min="6" max="6" width="12.85546875" style="34" bestFit="1" customWidth="1"/>
    <col min="7" max="7" width="11.140625" style="34" bestFit="1" customWidth="1"/>
    <col min="8" max="8" width="12.85546875" style="34" bestFit="1" customWidth="1"/>
    <col min="9" max="9" width="11.140625" style="34" bestFit="1" customWidth="1"/>
    <col min="10" max="10" width="12.85546875" style="34" bestFit="1" customWidth="1"/>
    <col min="11" max="11" width="13.42578125" style="35" bestFit="1" customWidth="1"/>
    <col min="12" max="12" width="13.42578125" style="34" bestFit="1" customWidth="1"/>
    <col min="13" max="16384" width="11.42578125" style="34"/>
  </cols>
  <sheetData>
    <row r="2" spans="2:11" ht="16.5" thickBot="1" x14ac:dyDescent="0.3"/>
    <row r="3" spans="2:11" ht="16.5" thickBot="1" x14ac:dyDescent="0.3">
      <c r="B3" s="1100" t="s">
        <v>1</v>
      </c>
      <c r="C3" s="1350"/>
      <c r="D3" s="1350"/>
      <c r="E3" s="1101"/>
      <c r="F3" s="1101"/>
      <c r="G3" s="1101"/>
      <c r="H3" s="1101"/>
      <c r="I3" s="1101"/>
      <c r="J3" s="1102"/>
    </row>
    <row r="4" spans="2:11" ht="16.5" thickBot="1" x14ac:dyDescent="0.3">
      <c r="B4" s="1182" t="s">
        <v>6</v>
      </c>
      <c r="C4" s="110" t="s">
        <v>17</v>
      </c>
      <c r="D4" s="111" t="s">
        <v>483</v>
      </c>
      <c r="E4" s="1184" t="s">
        <v>435</v>
      </c>
      <c r="F4" s="1102"/>
      <c r="G4" s="1100" t="s">
        <v>438</v>
      </c>
      <c r="H4" s="1102"/>
      <c r="I4" s="1100" t="s">
        <v>436</v>
      </c>
      <c r="J4" s="1102"/>
    </row>
    <row r="5" spans="2:11" ht="16.5" thickBot="1" x14ac:dyDescent="0.3">
      <c r="B5" s="1183"/>
      <c r="C5" s="112" t="s">
        <v>11</v>
      </c>
      <c r="D5" s="113" t="s">
        <v>0</v>
      </c>
      <c r="E5" s="114" t="s">
        <v>14</v>
      </c>
      <c r="F5" s="686" t="s">
        <v>10</v>
      </c>
      <c r="G5" s="114" t="s">
        <v>14</v>
      </c>
      <c r="H5" s="686" t="s">
        <v>10</v>
      </c>
      <c r="I5" s="114" t="s">
        <v>14</v>
      </c>
      <c r="J5" s="116" t="s">
        <v>10</v>
      </c>
    </row>
    <row r="6" spans="2:11" s="346" customFormat="1" ht="31.5" x14ac:dyDescent="0.25">
      <c r="B6" s="117">
        <v>1</v>
      </c>
      <c r="C6" s="340">
        <v>30</v>
      </c>
      <c r="D6" s="508" t="s">
        <v>484</v>
      </c>
      <c r="E6" s="570">
        <f>2800/C6</f>
        <v>93.333333333333329</v>
      </c>
      <c r="F6" s="569">
        <f>+E6*C6</f>
        <v>2800</v>
      </c>
      <c r="G6" s="570">
        <f>3050/C6</f>
        <v>101.66666666666667</v>
      </c>
      <c r="H6" s="569">
        <f>+G6*$C6</f>
        <v>3050</v>
      </c>
      <c r="I6" s="570">
        <v>120</v>
      </c>
      <c r="J6" s="343">
        <f>+I6*$C6</f>
        <v>3600</v>
      </c>
      <c r="K6" s="345"/>
    </row>
    <row r="7" spans="2:11" s="346" customFormat="1" ht="16.5" thickBot="1" x14ac:dyDescent="0.3">
      <c r="B7" s="125">
        <v>2</v>
      </c>
      <c r="C7" s="347">
        <v>30</v>
      </c>
      <c r="D7" s="589" t="s">
        <v>485</v>
      </c>
      <c r="E7" s="590">
        <f>4000/C7</f>
        <v>133.33333333333334</v>
      </c>
      <c r="F7" s="569">
        <f t="shared" ref="F7" si="0">+E7*$C7</f>
        <v>4000.0000000000005</v>
      </c>
      <c r="G7" s="590">
        <f>5040/C7</f>
        <v>168</v>
      </c>
      <c r="H7" s="569">
        <f t="shared" ref="H7" si="1">+G7*$C7</f>
        <v>5040</v>
      </c>
      <c r="I7" s="590">
        <v>180</v>
      </c>
      <c r="J7" s="343">
        <f t="shared" ref="J7" si="2">+I7*$C7</f>
        <v>5400</v>
      </c>
      <c r="K7" s="345"/>
    </row>
    <row r="8" spans="2:11" x14ac:dyDescent="0.25">
      <c r="B8" s="1094" t="s">
        <v>4</v>
      </c>
      <c r="C8" s="1095"/>
      <c r="D8" s="1185"/>
      <c r="E8" s="1186">
        <f>SUM(F6:F7)</f>
        <v>6800</v>
      </c>
      <c r="F8" s="1187"/>
      <c r="G8" s="1186">
        <f>SUM(H6:H7)</f>
        <v>8090</v>
      </c>
      <c r="H8" s="1187"/>
      <c r="I8" s="1186">
        <f>SUM(J6:J7)</f>
        <v>9000</v>
      </c>
      <c r="J8" s="1188"/>
    </row>
    <row r="9" spans="2:11" x14ac:dyDescent="0.25">
      <c r="B9" s="1096" t="s">
        <v>5</v>
      </c>
      <c r="C9" s="1097"/>
      <c r="D9" s="1195"/>
      <c r="E9" s="1176">
        <v>0</v>
      </c>
      <c r="F9" s="1196"/>
      <c r="G9" s="1176">
        <v>0</v>
      </c>
      <c r="H9" s="1196"/>
      <c r="I9" s="1176">
        <v>0</v>
      </c>
      <c r="J9" s="1177"/>
    </row>
    <row r="10" spans="2:11" x14ac:dyDescent="0.25">
      <c r="B10" s="1096" t="s">
        <v>2</v>
      </c>
      <c r="C10" s="1097"/>
      <c r="D10" s="1195"/>
      <c r="E10" s="1176">
        <f>(E8-E9)*15%</f>
        <v>1020</v>
      </c>
      <c r="F10" s="1196"/>
      <c r="G10" s="1176">
        <f>(G8-G9)*15%</f>
        <v>1213.5</v>
      </c>
      <c r="H10" s="1196"/>
      <c r="I10" s="1176">
        <f>(I8-I9)*15%</f>
        <v>1350</v>
      </c>
      <c r="J10" s="1177"/>
    </row>
    <row r="11" spans="2:11" ht="16.5" thickBot="1" x14ac:dyDescent="0.3">
      <c r="B11" s="1098" t="s">
        <v>3</v>
      </c>
      <c r="C11" s="1099"/>
      <c r="D11" s="1454"/>
      <c r="E11" s="1457">
        <f>(E8-E9)+E10</f>
        <v>7820</v>
      </c>
      <c r="F11" s="1458"/>
      <c r="G11" s="1457">
        <f>(G8-G9)+G10</f>
        <v>9303.5</v>
      </c>
      <c r="H11" s="1458"/>
      <c r="I11" s="1457">
        <f>(I8-I9)+I10</f>
        <v>10350</v>
      </c>
      <c r="J11" s="1346"/>
    </row>
    <row r="13" spans="2:11" x14ac:dyDescent="0.25">
      <c r="F13" s="40"/>
      <c r="G13" s="40"/>
      <c r="H13" s="40"/>
      <c r="J13" s="40"/>
    </row>
  </sheetData>
  <mergeCells count="21">
    <mergeCell ref="B3:J3"/>
    <mergeCell ref="B4:B5"/>
    <mergeCell ref="E4:F4"/>
    <mergeCell ref="G4:H4"/>
    <mergeCell ref="I4:J4"/>
    <mergeCell ref="B8:D8"/>
    <mergeCell ref="E8:F8"/>
    <mergeCell ref="G8:H8"/>
    <mergeCell ref="I8:J8"/>
    <mergeCell ref="B9:D9"/>
    <mergeCell ref="E9:F9"/>
    <mergeCell ref="G9:H9"/>
    <mergeCell ref="I9:J9"/>
    <mergeCell ref="B10:D10"/>
    <mergeCell ref="E10:F10"/>
    <mergeCell ref="G10:H10"/>
    <mergeCell ref="I10:J10"/>
    <mergeCell ref="B11:D11"/>
    <mergeCell ref="E11:F11"/>
    <mergeCell ref="G11:H11"/>
    <mergeCell ref="I11:J11"/>
  </mergeCells>
  <conditionalFormatting sqref="F6:F7 H6:H7 J6:J7">
    <cfRule type="expression" dxfId="257" priority="194">
      <formula>E6=""</formula>
    </cfRule>
    <cfRule type="expression" dxfId="256" priority="195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D7A73-E57D-4E6E-8A8A-F71D2021D892}">
  <sheetPr codeName="Hoja77"/>
  <dimension ref="A3:J22"/>
  <sheetViews>
    <sheetView showGridLines="0" workbookViewId="0">
      <selection activeCell="H5" sqref="H5:I5"/>
    </sheetView>
  </sheetViews>
  <sheetFormatPr baseColWidth="10" defaultRowHeight="12.75" x14ac:dyDescent="0.25"/>
  <cols>
    <col min="1" max="1" width="2.5703125" style="73" bestFit="1" customWidth="1"/>
    <col min="2" max="2" width="5.28515625" style="73" bestFit="1" customWidth="1"/>
    <col min="3" max="3" width="15.5703125" style="73" bestFit="1" customWidth="1"/>
    <col min="4" max="4" width="11" style="73" bestFit="1" customWidth="1"/>
    <col min="5" max="5" width="12" style="73" bestFit="1" customWidth="1"/>
    <col min="6" max="6" width="11" style="73" bestFit="1" customWidth="1"/>
    <col min="7" max="7" width="12" style="73" bestFit="1" customWidth="1"/>
    <col min="8" max="8" width="11" style="73" bestFit="1" customWidth="1"/>
    <col min="9" max="9" width="12" style="73" bestFit="1" customWidth="1"/>
    <col min="10" max="10" width="13.42578125" style="74" bestFit="1" customWidth="1"/>
    <col min="11" max="11" width="13.42578125" style="73" bestFit="1" customWidth="1"/>
    <col min="12" max="16384" width="11.42578125" style="73"/>
  </cols>
  <sheetData>
    <row r="3" spans="1:10" ht="13.5" thickBot="1" x14ac:dyDescent="0.3"/>
    <row r="4" spans="1:10" ht="13.5" thickBot="1" x14ac:dyDescent="0.3">
      <c r="A4" s="1142" t="s">
        <v>1</v>
      </c>
      <c r="B4" s="1143"/>
      <c r="C4" s="1143"/>
      <c r="D4" s="1143"/>
      <c r="E4" s="1143"/>
      <c r="F4" s="1143"/>
      <c r="G4" s="1143"/>
      <c r="H4" s="1143"/>
      <c r="I4" s="1144"/>
    </row>
    <row r="5" spans="1:10" x14ac:dyDescent="0.25">
      <c r="A5" s="1145" t="s">
        <v>6</v>
      </c>
      <c r="B5" s="75" t="s">
        <v>17</v>
      </c>
      <c r="C5" s="76" t="s">
        <v>478</v>
      </c>
      <c r="D5" s="1147" t="s">
        <v>52</v>
      </c>
      <c r="E5" s="1147"/>
      <c r="F5" s="1147" t="s">
        <v>49</v>
      </c>
      <c r="G5" s="1147"/>
      <c r="H5" s="1147" t="s">
        <v>53</v>
      </c>
      <c r="I5" s="1148"/>
    </row>
    <row r="6" spans="1:10" ht="13.5" thickBot="1" x14ac:dyDescent="0.3">
      <c r="A6" s="1146"/>
      <c r="B6" s="77" t="s">
        <v>11</v>
      </c>
      <c r="C6" s="78" t="s">
        <v>0</v>
      </c>
      <c r="D6" s="78" t="s">
        <v>14</v>
      </c>
      <c r="E6" s="78" t="s">
        <v>10</v>
      </c>
      <c r="F6" s="78" t="s">
        <v>14</v>
      </c>
      <c r="G6" s="78" t="s">
        <v>10</v>
      </c>
      <c r="H6" s="78" t="s">
        <v>14</v>
      </c>
      <c r="I6" s="79" t="s">
        <v>10</v>
      </c>
    </row>
    <row r="7" spans="1:10" s="86" customFormat="1" x14ac:dyDescent="0.25">
      <c r="A7" s="80">
        <v>1</v>
      </c>
      <c r="B7" s="81">
        <v>1</v>
      </c>
      <c r="C7" s="82" t="s">
        <v>488</v>
      </c>
      <c r="D7" s="1499">
        <f>3387.13-(3387.13*0.25)</f>
        <v>2540.3474999999999</v>
      </c>
      <c r="E7" s="1500"/>
      <c r="F7" s="1501">
        <v>1451.21</v>
      </c>
      <c r="G7" s="1502"/>
      <c r="H7" s="1499">
        <f>73.3*36.05</f>
        <v>2642.4649999999997</v>
      </c>
      <c r="I7" s="1504"/>
      <c r="J7" s="85"/>
    </row>
    <row r="8" spans="1:10" s="86" customFormat="1" x14ac:dyDescent="0.25">
      <c r="A8" s="87">
        <v>2</v>
      </c>
      <c r="B8" s="88">
        <v>1</v>
      </c>
      <c r="C8" s="89" t="s">
        <v>489</v>
      </c>
      <c r="D8" s="1487">
        <f>2760.08-(2760.08*0.25)</f>
        <v>2070.06</v>
      </c>
      <c r="E8" s="1488"/>
      <c r="F8" s="1489">
        <v>692.52</v>
      </c>
      <c r="G8" s="1503"/>
      <c r="H8" s="1487">
        <f>41.51*36.05</f>
        <v>1496.4354999999998</v>
      </c>
      <c r="I8" s="1505"/>
      <c r="J8" s="85"/>
    </row>
    <row r="9" spans="1:10" x14ac:dyDescent="0.25">
      <c r="A9" s="80">
        <v>3</v>
      </c>
      <c r="B9" s="81">
        <v>1</v>
      </c>
      <c r="C9" s="690" t="s">
        <v>490</v>
      </c>
      <c r="D9" s="1487" t="s">
        <v>36</v>
      </c>
      <c r="E9" s="1488"/>
      <c r="F9" s="1487">
        <v>2986.6</v>
      </c>
      <c r="G9" s="1488" t="s">
        <v>36</v>
      </c>
      <c r="H9" s="1489">
        <f>75.63*36.05</f>
        <v>2726.4614999999994</v>
      </c>
      <c r="I9" s="1490"/>
    </row>
    <row r="10" spans="1:10" ht="13.5" thickBot="1" x14ac:dyDescent="0.3">
      <c r="A10" s="80">
        <v>4</v>
      </c>
      <c r="B10" s="81">
        <v>1</v>
      </c>
      <c r="C10" s="690" t="s">
        <v>491</v>
      </c>
      <c r="D10" s="1491" t="s">
        <v>36</v>
      </c>
      <c r="E10" s="1492"/>
      <c r="F10" s="1495" t="s">
        <v>36</v>
      </c>
      <c r="G10" s="1496" t="s">
        <v>36</v>
      </c>
      <c r="H10" s="1493">
        <f>20.18*36.05</f>
        <v>727.48899999999992</v>
      </c>
      <c r="I10" s="1494"/>
    </row>
    <row r="11" spans="1:10" x14ac:dyDescent="0.25">
      <c r="A11" s="1138" t="s">
        <v>4</v>
      </c>
      <c r="B11" s="1139"/>
      <c r="C11" s="1139"/>
      <c r="D11" s="1140">
        <f>SUM(D7:E10)</f>
        <v>4610.4074999999993</v>
      </c>
      <c r="E11" s="1140"/>
      <c r="F11" s="1140">
        <f>SUM(F7:G10)</f>
        <v>5130.33</v>
      </c>
      <c r="G11" s="1140"/>
      <c r="H11" s="1140">
        <f t="shared" ref="H11" si="0">SUM(H7:I10)</f>
        <v>7592.8509999999987</v>
      </c>
      <c r="I11" s="1141"/>
    </row>
    <row r="12" spans="1:10" x14ac:dyDescent="0.25">
      <c r="A12" s="1149" t="s">
        <v>5</v>
      </c>
      <c r="B12" s="1150"/>
      <c r="C12" s="1150"/>
      <c r="D12" s="1152">
        <v>0.25</v>
      </c>
      <c r="E12" s="1152"/>
      <c r="F12" s="1151">
        <v>0</v>
      </c>
      <c r="G12" s="1151"/>
      <c r="H12" s="1152">
        <v>0.2</v>
      </c>
      <c r="I12" s="1153"/>
    </row>
    <row r="13" spans="1:10" x14ac:dyDescent="0.25">
      <c r="A13" s="1149" t="s">
        <v>2</v>
      </c>
      <c r="B13" s="1150"/>
      <c r="C13" s="1150"/>
      <c r="D13" s="1151">
        <f>(D11)*15%</f>
        <v>691.56112499999983</v>
      </c>
      <c r="E13" s="1151"/>
      <c r="F13" s="1151">
        <f>(F11)*15%</f>
        <v>769.54949999999997</v>
      </c>
      <c r="G13" s="1151"/>
      <c r="H13" s="1151">
        <f>(H11)*15%</f>
        <v>1138.9276499999999</v>
      </c>
      <c r="I13" s="1154"/>
    </row>
    <row r="14" spans="1:10" ht="13.5" thickBot="1" x14ac:dyDescent="0.3">
      <c r="A14" s="1161" t="s">
        <v>3</v>
      </c>
      <c r="B14" s="1162"/>
      <c r="C14" s="1162"/>
      <c r="D14" s="1155">
        <f>(D11)+D13</f>
        <v>5301.9686249999995</v>
      </c>
      <c r="E14" s="1155"/>
      <c r="F14" s="1155">
        <f>(F11)+F13</f>
        <v>5899.8795</v>
      </c>
      <c r="G14" s="1155"/>
      <c r="H14" s="1155">
        <f>(H11)+H13</f>
        <v>8731.7786499999984</v>
      </c>
      <c r="I14" s="1156"/>
    </row>
    <row r="15" spans="1:10" ht="13.5" thickBot="1" x14ac:dyDescent="0.3"/>
    <row r="16" spans="1:10" ht="13.5" thickBot="1" x14ac:dyDescent="0.3">
      <c r="A16" s="1163" t="s">
        <v>6</v>
      </c>
      <c r="B16" s="97" t="s">
        <v>17</v>
      </c>
      <c r="C16" s="98" t="s">
        <v>487</v>
      </c>
      <c r="D16" s="1165" t="s">
        <v>53</v>
      </c>
      <c r="E16" s="1144"/>
      <c r="F16" s="1142" t="s">
        <v>55</v>
      </c>
      <c r="G16" s="1144"/>
      <c r="H16" s="1142" t="s">
        <v>56</v>
      </c>
      <c r="I16" s="1144"/>
    </row>
    <row r="17" spans="1:9" ht="13.5" thickBot="1" x14ac:dyDescent="0.3">
      <c r="A17" s="1164"/>
      <c r="B17" s="100" t="s">
        <v>11</v>
      </c>
      <c r="C17" s="101" t="s">
        <v>0</v>
      </c>
      <c r="D17" s="102" t="s">
        <v>14</v>
      </c>
      <c r="E17" s="688" t="s">
        <v>10</v>
      </c>
      <c r="F17" s="102" t="s">
        <v>14</v>
      </c>
      <c r="G17" s="688" t="s">
        <v>10</v>
      </c>
      <c r="H17" s="102" t="s">
        <v>14</v>
      </c>
      <c r="I17" s="689" t="s">
        <v>10</v>
      </c>
    </row>
    <row r="18" spans="1:9" ht="13.5" thickBot="1" x14ac:dyDescent="0.3">
      <c r="A18" s="80">
        <v>1</v>
      </c>
      <c r="B18" s="81">
        <v>4</v>
      </c>
      <c r="C18" s="82" t="s">
        <v>357</v>
      </c>
      <c r="D18" s="105">
        <f>(445.16/B18)*36.05</f>
        <v>4012.0045</v>
      </c>
      <c r="E18" s="692">
        <f>+D18*B18</f>
        <v>16048.018</v>
      </c>
      <c r="F18" s="105">
        <f>(103.69+18.02)*36.05</f>
        <v>4387.6454999999996</v>
      </c>
      <c r="G18" s="691">
        <f>+F18*B18</f>
        <v>17550.581999999999</v>
      </c>
      <c r="H18" s="105">
        <v>4018.48</v>
      </c>
      <c r="I18" s="107">
        <f>+H18*B18</f>
        <v>16073.92</v>
      </c>
    </row>
    <row r="19" spans="1:9" x14ac:dyDescent="0.25">
      <c r="A19" s="1138" t="s">
        <v>4</v>
      </c>
      <c r="B19" s="1139"/>
      <c r="C19" s="1157"/>
      <c r="D19" s="1158">
        <f>SUM(E18:E18)</f>
        <v>16048.018</v>
      </c>
      <c r="E19" s="1159"/>
      <c r="F19" s="1158">
        <f>SUM(G18:G18)</f>
        <v>17550.581999999999</v>
      </c>
      <c r="G19" s="1159"/>
      <c r="H19" s="1158">
        <f>SUM(I18:I18)</f>
        <v>16073.92</v>
      </c>
      <c r="I19" s="1160"/>
    </row>
    <row r="20" spans="1:9" x14ac:dyDescent="0.25">
      <c r="A20" s="1149" t="s">
        <v>5</v>
      </c>
      <c r="B20" s="1150"/>
      <c r="C20" s="1172"/>
      <c r="D20" s="1227">
        <v>0.35</v>
      </c>
      <c r="E20" s="1229"/>
      <c r="F20" s="1227">
        <v>0.3</v>
      </c>
      <c r="G20" s="1229"/>
      <c r="H20" s="1173">
        <v>0</v>
      </c>
      <c r="I20" s="1175"/>
    </row>
    <row r="21" spans="1:9" x14ac:dyDescent="0.25">
      <c r="A21" s="1149" t="s">
        <v>2</v>
      </c>
      <c r="B21" s="1150"/>
      <c r="C21" s="1172"/>
      <c r="D21" s="1173">
        <f>(D19)*15%</f>
        <v>2407.2026999999998</v>
      </c>
      <c r="E21" s="1174"/>
      <c r="F21" s="1173">
        <f>(F19)*15%</f>
        <v>2632.5872999999997</v>
      </c>
      <c r="G21" s="1174"/>
      <c r="H21" s="1173">
        <f>(H19-H20)*15%</f>
        <v>2411.0879999999997</v>
      </c>
      <c r="I21" s="1175"/>
    </row>
    <row r="22" spans="1:9" ht="13.5" thickBot="1" x14ac:dyDescent="0.3">
      <c r="A22" s="1161" t="s">
        <v>3</v>
      </c>
      <c r="B22" s="1162"/>
      <c r="C22" s="1166"/>
      <c r="D22" s="1497">
        <f>(D19)+D21</f>
        <v>18455.220699999998</v>
      </c>
      <c r="E22" s="1498"/>
      <c r="F22" s="1169">
        <f>(F19)+F21</f>
        <v>20183.169299999998</v>
      </c>
      <c r="G22" s="1170"/>
      <c r="H22" s="1169">
        <f>(H19-H20)+H21</f>
        <v>18485.008000000002</v>
      </c>
      <c r="I22" s="1171"/>
    </row>
  </sheetData>
  <mergeCells count="53">
    <mergeCell ref="A22:C22"/>
    <mergeCell ref="D22:E22"/>
    <mergeCell ref="F22:G22"/>
    <mergeCell ref="H22:I22"/>
    <mergeCell ref="D7:E7"/>
    <mergeCell ref="D8:E8"/>
    <mergeCell ref="F7:G7"/>
    <mergeCell ref="F8:G8"/>
    <mergeCell ref="H7:I7"/>
    <mergeCell ref="H8:I8"/>
    <mergeCell ref="A20:C20"/>
    <mergeCell ref="D20:E20"/>
    <mergeCell ref="F20:G20"/>
    <mergeCell ref="H20:I20"/>
    <mergeCell ref="A21:C21"/>
    <mergeCell ref="D21:E21"/>
    <mergeCell ref="F21:G21"/>
    <mergeCell ref="H21:I21"/>
    <mergeCell ref="A16:A17"/>
    <mergeCell ref="D16:E16"/>
    <mergeCell ref="F16:G16"/>
    <mergeCell ref="H16:I16"/>
    <mergeCell ref="A19:C19"/>
    <mergeCell ref="D19:E19"/>
    <mergeCell ref="F19:G19"/>
    <mergeCell ref="H19:I19"/>
    <mergeCell ref="A14:C14"/>
    <mergeCell ref="D14:E14"/>
    <mergeCell ref="F14:G14"/>
    <mergeCell ref="H14:I14"/>
    <mergeCell ref="A13:C13"/>
    <mergeCell ref="D13:E13"/>
    <mergeCell ref="F13:G13"/>
    <mergeCell ref="H13:I13"/>
    <mergeCell ref="A12:C12"/>
    <mergeCell ref="D12:E12"/>
    <mergeCell ref="F12:G12"/>
    <mergeCell ref="H12:I12"/>
    <mergeCell ref="A11:C11"/>
    <mergeCell ref="D11:E11"/>
    <mergeCell ref="F11:G11"/>
    <mergeCell ref="H11:I11"/>
    <mergeCell ref="A4:I4"/>
    <mergeCell ref="A5:A6"/>
    <mergeCell ref="D5:E5"/>
    <mergeCell ref="F5:G5"/>
    <mergeCell ref="H5:I5"/>
    <mergeCell ref="D9:E9"/>
    <mergeCell ref="F9:G9"/>
    <mergeCell ref="H9:I9"/>
    <mergeCell ref="D10:E10"/>
    <mergeCell ref="H10:I10"/>
    <mergeCell ref="F10:G10"/>
  </mergeCells>
  <conditionalFormatting sqref="G18 E18 I18">
    <cfRule type="expression" dxfId="255" priority="200">
      <formula>D18=""</formula>
    </cfRule>
    <cfRule type="expression" dxfId="254" priority="201">
      <formula>D18=MIN($D18,$F18,#REF!)</formula>
    </cfRule>
  </conditionalFormatting>
  <pageMargins left="0.25" right="0.25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FB4E-BF3D-4B4C-BF87-A269E34AF52B}">
  <sheetPr codeName="Hoja78"/>
  <dimension ref="A2:L16"/>
  <sheetViews>
    <sheetView showGridLines="0" workbookViewId="0">
      <selection activeCell="C4" sqref="C4"/>
    </sheetView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18.28515625" style="34" bestFit="1" customWidth="1"/>
    <col min="4" max="4" width="12.85546875" style="34" bestFit="1" customWidth="1"/>
    <col min="5" max="5" width="14" style="34" bestFit="1" customWidth="1"/>
    <col min="6" max="6" width="11.140625" style="34" bestFit="1" customWidth="1"/>
    <col min="7" max="8" width="12.85546875" style="34" bestFit="1" customWidth="1"/>
    <col min="9" max="9" width="14" style="34" bestFit="1" customWidth="1"/>
    <col min="10" max="10" width="12.85546875" style="34" bestFit="1" customWidth="1"/>
    <col min="11" max="11" width="14" style="34" bestFit="1" customWidth="1"/>
    <col min="12" max="12" width="13.42578125" style="35" bestFit="1" customWidth="1"/>
    <col min="13" max="13" width="13.42578125" style="34" bestFit="1" customWidth="1"/>
    <col min="14" max="16384" width="11.42578125" style="34"/>
  </cols>
  <sheetData>
    <row r="2" spans="1:12" ht="16.5" thickBot="1" x14ac:dyDescent="0.3"/>
    <row r="3" spans="1:12" ht="16.5" thickBot="1" x14ac:dyDescent="0.3">
      <c r="A3" s="1100" t="s">
        <v>1</v>
      </c>
      <c r="B3" s="1350"/>
      <c r="C3" s="1350"/>
      <c r="D3" s="1101"/>
      <c r="E3" s="1101"/>
      <c r="F3" s="1101"/>
      <c r="G3" s="1101"/>
      <c r="H3" s="1101"/>
      <c r="I3" s="1101"/>
      <c r="J3" s="1101"/>
      <c r="K3" s="1102"/>
    </row>
    <row r="4" spans="1:12" ht="16.5" thickBot="1" x14ac:dyDescent="0.3">
      <c r="A4" s="1182" t="s">
        <v>6</v>
      </c>
      <c r="B4" s="110" t="s">
        <v>17</v>
      </c>
      <c r="C4" s="111" t="s">
        <v>492</v>
      </c>
      <c r="D4" s="1184" t="s">
        <v>498</v>
      </c>
      <c r="E4" s="1102"/>
      <c r="F4" s="1100" t="s">
        <v>53</v>
      </c>
      <c r="G4" s="1102"/>
      <c r="H4" s="1100" t="s">
        <v>141</v>
      </c>
      <c r="I4" s="1102"/>
      <c r="J4" s="1100" t="s">
        <v>499</v>
      </c>
      <c r="K4" s="1102"/>
    </row>
    <row r="5" spans="1:12" ht="16.5" thickBot="1" x14ac:dyDescent="0.3">
      <c r="A5" s="1183"/>
      <c r="B5" s="112" t="s">
        <v>11</v>
      </c>
      <c r="C5" s="113" t="s">
        <v>0</v>
      </c>
      <c r="D5" s="114" t="s">
        <v>14</v>
      </c>
      <c r="E5" s="687" t="s">
        <v>10</v>
      </c>
      <c r="F5" s="114" t="s">
        <v>14</v>
      </c>
      <c r="G5" s="687" t="s">
        <v>10</v>
      </c>
      <c r="H5" s="114" t="s">
        <v>14</v>
      </c>
      <c r="I5" s="116" t="s">
        <v>10</v>
      </c>
      <c r="J5" s="114" t="s">
        <v>14</v>
      </c>
      <c r="K5" s="116" t="s">
        <v>10</v>
      </c>
    </row>
    <row r="6" spans="1:12" s="346" customFormat="1" x14ac:dyDescent="0.25">
      <c r="A6" s="117">
        <v>1</v>
      </c>
      <c r="B6" s="340">
        <v>10</v>
      </c>
      <c r="C6" s="508" t="s">
        <v>493</v>
      </c>
      <c r="D6" s="570">
        <f>150-(150*7%)</f>
        <v>139.5</v>
      </c>
      <c r="E6" s="569">
        <f>+D6*$B6</f>
        <v>1395</v>
      </c>
      <c r="F6" s="570" t="s">
        <v>36</v>
      </c>
      <c r="G6" s="569" t="s">
        <v>36</v>
      </c>
      <c r="H6" s="570">
        <v>270</v>
      </c>
      <c r="I6" s="569">
        <f>+H6*$B6</f>
        <v>2700</v>
      </c>
      <c r="J6" s="570">
        <f>180-(180*0.1)</f>
        <v>162</v>
      </c>
      <c r="K6" s="343">
        <f>+J6*$B6</f>
        <v>1620</v>
      </c>
      <c r="L6" s="345"/>
    </row>
    <row r="7" spans="1:12" s="346" customFormat="1" x14ac:dyDescent="0.25">
      <c r="A7" s="125">
        <v>2</v>
      </c>
      <c r="B7" s="347">
        <v>10</v>
      </c>
      <c r="C7" s="589" t="s">
        <v>494</v>
      </c>
      <c r="D7" s="570">
        <f>70-(70*7%)</f>
        <v>65.099999999999994</v>
      </c>
      <c r="E7" s="569">
        <f>+D7*$B7</f>
        <v>651</v>
      </c>
      <c r="F7" s="590" t="s">
        <v>36</v>
      </c>
      <c r="G7" s="569" t="s">
        <v>36</v>
      </c>
      <c r="H7" s="590">
        <v>80</v>
      </c>
      <c r="I7" s="569">
        <f t="shared" ref="I7" si="0">+H7*$B7</f>
        <v>800</v>
      </c>
      <c r="J7" s="570">
        <f>120-(120*0.1)</f>
        <v>108</v>
      </c>
      <c r="K7" s="343">
        <f>+J7*$B7</f>
        <v>1080</v>
      </c>
      <c r="L7" s="345"/>
    </row>
    <row r="8" spans="1:12" s="346" customFormat="1" ht="31.5" x14ac:dyDescent="0.25">
      <c r="A8" s="125">
        <v>3</v>
      </c>
      <c r="B8" s="347">
        <v>10</v>
      </c>
      <c r="C8" s="589" t="s">
        <v>495</v>
      </c>
      <c r="D8" s="570" t="s">
        <v>36</v>
      </c>
      <c r="E8" s="569" t="s">
        <v>36</v>
      </c>
      <c r="F8" s="590">
        <f>(225.4/B8)*36.05</f>
        <v>812.56699999999989</v>
      </c>
      <c r="G8" s="569">
        <f>+F8*$B8</f>
        <v>8125.6699999999992</v>
      </c>
      <c r="H8" s="590" t="s">
        <v>36</v>
      </c>
      <c r="I8" s="569" t="s">
        <v>36</v>
      </c>
      <c r="J8" s="570" t="s">
        <v>36</v>
      </c>
      <c r="K8" s="343" t="s">
        <v>36</v>
      </c>
      <c r="L8" s="345"/>
    </row>
    <row r="9" spans="1:12" s="346" customFormat="1" x14ac:dyDescent="0.25">
      <c r="A9" s="125">
        <v>4</v>
      </c>
      <c r="B9" s="347">
        <v>10</v>
      </c>
      <c r="C9" s="589" t="s">
        <v>496</v>
      </c>
      <c r="D9" s="570">
        <f>1300-(1300*7%)</f>
        <v>1209</v>
      </c>
      <c r="E9" s="569">
        <f>+D9*$B9</f>
        <v>12090</v>
      </c>
      <c r="F9" s="570">
        <f>(247.2/B9)*36.05</f>
        <v>891.15599999999984</v>
      </c>
      <c r="G9" s="569">
        <f>+F9*$B9</f>
        <v>8911.5599999999977</v>
      </c>
      <c r="H9" s="590">
        <v>1068</v>
      </c>
      <c r="I9" s="569">
        <f>+H9*$B9</f>
        <v>10680</v>
      </c>
      <c r="J9" s="570">
        <f>1600-(1600*0.1)</f>
        <v>1440</v>
      </c>
      <c r="K9" s="343">
        <f>+J9*$B9</f>
        <v>14400</v>
      </c>
      <c r="L9" s="345"/>
    </row>
    <row r="10" spans="1:12" s="346" customFormat="1" ht="16.5" thickBot="1" x14ac:dyDescent="0.3">
      <c r="A10" s="352">
        <v>5</v>
      </c>
      <c r="B10" s="353">
        <v>10</v>
      </c>
      <c r="C10" s="513" t="s">
        <v>497</v>
      </c>
      <c r="D10" s="570">
        <f>570-(570*7%)</f>
        <v>530.1</v>
      </c>
      <c r="E10" s="569">
        <f>+D10*$B10</f>
        <v>5301</v>
      </c>
      <c r="F10" s="591">
        <f>(84.15/5)*36.05</f>
        <v>606.72149999999999</v>
      </c>
      <c r="G10" s="569">
        <f>+F10*$B10</f>
        <v>6067.2150000000001</v>
      </c>
      <c r="H10" s="591">
        <v>567</v>
      </c>
      <c r="I10" s="569">
        <f>+H10*$B10</f>
        <v>5670</v>
      </c>
      <c r="J10" s="570">
        <f>750-(750*0.1)</f>
        <v>675</v>
      </c>
      <c r="K10" s="343">
        <f>+J10*$B10</f>
        <v>6750</v>
      </c>
      <c r="L10" s="345"/>
    </row>
    <row r="11" spans="1:12" x14ac:dyDescent="0.25">
      <c r="A11" s="1094" t="s">
        <v>4</v>
      </c>
      <c r="B11" s="1095"/>
      <c r="C11" s="1185"/>
      <c r="D11" s="1186">
        <f>SUM(E6:E10)</f>
        <v>19437</v>
      </c>
      <c r="E11" s="1187"/>
      <c r="F11" s="1186">
        <f>SUM(G6:G10)</f>
        <v>23104.444999999996</v>
      </c>
      <c r="G11" s="1187"/>
      <c r="H11" s="1186">
        <f>SUM(I6:I10)</f>
        <v>19850</v>
      </c>
      <c r="I11" s="1187"/>
      <c r="J11" s="1186">
        <f>SUM(K6:K10)</f>
        <v>23850</v>
      </c>
      <c r="K11" s="1188"/>
    </row>
    <row r="12" spans="1:12" x14ac:dyDescent="0.25">
      <c r="A12" s="1096" t="s">
        <v>5</v>
      </c>
      <c r="B12" s="1097"/>
      <c r="C12" s="1195"/>
      <c r="D12" s="1197">
        <v>7.0000000000000007E-2</v>
      </c>
      <c r="E12" s="1459"/>
      <c r="F12" s="1197" t="s">
        <v>500</v>
      </c>
      <c r="G12" s="1459"/>
      <c r="H12" s="1197">
        <v>0</v>
      </c>
      <c r="I12" s="1459"/>
      <c r="J12" s="1197">
        <v>0.1</v>
      </c>
      <c r="K12" s="1198"/>
    </row>
    <row r="13" spans="1:12" x14ac:dyDescent="0.25">
      <c r="A13" s="1096" t="s">
        <v>2</v>
      </c>
      <c r="B13" s="1097"/>
      <c r="C13" s="1195"/>
      <c r="D13" s="1176">
        <f>(D11)*15%</f>
        <v>2915.5499999999997</v>
      </c>
      <c r="E13" s="1196"/>
      <c r="F13" s="1176">
        <f>(F11)*15%</f>
        <v>3465.6667499999994</v>
      </c>
      <c r="G13" s="1196"/>
      <c r="H13" s="1176">
        <f>(H11-H12)*15%</f>
        <v>2977.5</v>
      </c>
      <c r="I13" s="1196"/>
      <c r="J13" s="1176">
        <v>0</v>
      </c>
      <c r="K13" s="1177"/>
    </row>
    <row r="14" spans="1:12" ht="16.5" thickBot="1" x14ac:dyDescent="0.3">
      <c r="A14" s="1098" t="s">
        <v>3</v>
      </c>
      <c r="B14" s="1099"/>
      <c r="C14" s="1454"/>
      <c r="D14" s="1457">
        <f>(D11)+D13</f>
        <v>22352.55</v>
      </c>
      <c r="E14" s="1458"/>
      <c r="F14" s="1457">
        <f>(F11)+F13</f>
        <v>26570.111749999996</v>
      </c>
      <c r="G14" s="1458"/>
      <c r="H14" s="1457">
        <f>(H11-H12)+H13</f>
        <v>22827.5</v>
      </c>
      <c r="I14" s="1458"/>
      <c r="J14" s="1457">
        <f>(J11)+J13</f>
        <v>23850</v>
      </c>
      <c r="K14" s="1346"/>
    </row>
    <row r="16" spans="1:12" x14ac:dyDescent="0.25">
      <c r="E16" s="40"/>
      <c r="F16" s="40"/>
      <c r="G16" s="40"/>
      <c r="H16" s="40"/>
      <c r="I16" s="40"/>
      <c r="K16" s="40"/>
    </row>
  </sheetData>
  <mergeCells count="26">
    <mergeCell ref="A14:C14"/>
    <mergeCell ref="D14:E14"/>
    <mergeCell ref="F14:G14"/>
    <mergeCell ref="J14:K14"/>
    <mergeCell ref="H4:I4"/>
    <mergeCell ref="H11:I11"/>
    <mergeCell ref="H12:I12"/>
    <mergeCell ref="H13:I13"/>
    <mergeCell ref="H14:I14"/>
    <mergeCell ref="A12:C12"/>
    <mergeCell ref="D12:E12"/>
    <mergeCell ref="F12:G12"/>
    <mergeCell ref="J12:K12"/>
    <mergeCell ref="A13:C13"/>
    <mergeCell ref="D13:E13"/>
    <mergeCell ref="F13:G13"/>
    <mergeCell ref="J13:K13"/>
    <mergeCell ref="A3:K3"/>
    <mergeCell ref="A4:A5"/>
    <mergeCell ref="D4:E4"/>
    <mergeCell ref="F4:G4"/>
    <mergeCell ref="J4:K4"/>
    <mergeCell ref="A11:C11"/>
    <mergeCell ref="D11:E11"/>
    <mergeCell ref="F11:G11"/>
    <mergeCell ref="J11:K11"/>
  </mergeCells>
  <conditionalFormatting sqref="E6:E10">
    <cfRule type="expression" dxfId="253" priority="14">
      <formula>D6=""</formula>
    </cfRule>
  </conditionalFormatting>
  <conditionalFormatting sqref="G6:G10">
    <cfRule type="expression" dxfId="252" priority="12">
      <formula>F6=""</formula>
    </cfRule>
    <cfRule type="expression" dxfId="251" priority="13">
      <formula>F6=MIN($D6,$F6,$J6)</formula>
    </cfRule>
  </conditionalFormatting>
  <conditionalFormatting sqref="K6:K10">
    <cfRule type="expression" dxfId="250" priority="10">
      <formula>J6=""</formula>
    </cfRule>
    <cfRule type="expression" dxfId="249" priority="11">
      <formula>J6=MIN($D6,$F6,$J6)</formula>
    </cfRule>
  </conditionalFormatting>
  <conditionalFormatting sqref="E6:E10 K6:K10 G6:G10">
    <cfRule type="expression" dxfId="248" priority="15">
      <formula>D6=MIN($D6,$F6,$H6,$J6)</formula>
    </cfRule>
  </conditionalFormatting>
  <conditionalFormatting sqref="G6:G10">
    <cfRule type="expression" dxfId="247" priority="7">
      <formula>F6=""</formula>
    </cfRule>
  </conditionalFormatting>
  <conditionalFormatting sqref="K6:K10">
    <cfRule type="expression" dxfId="246" priority="5">
      <formula>J6=""</formula>
    </cfRule>
  </conditionalFormatting>
  <conditionalFormatting sqref="I6:I10">
    <cfRule type="expression" dxfId="245" priority="2">
      <formula>H6=""</formula>
    </cfRule>
    <cfRule type="expression" dxfId="244" priority="3">
      <formula>H6=MIN($D6,$F6,$J6)</formula>
    </cfRule>
  </conditionalFormatting>
  <conditionalFormatting sqref="I6:I10">
    <cfRule type="expression" dxfId="243" priority="4">
      <formula>H6=MIN($D6,$F6,$H6,$J6)</formula>
    </cfRule>
  </conditionalFormatting>
  <conditionalFormatting sqref="I6:I10">
    <cfRule type="expression" dxfId="242" priority="1">
      <formula>H6=""</formula>
    </cfRule>
  </conditionalFormatting>
  <pageMargins left="0.25" right="0.25" top="0.75" bottom="0.75" header="0.3" footer="0.3"/>
  <pageSetup orientation="landscape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C65E33-586C-40D5-A2EB-86B656DFFD70}">
  <sheetPr codeName="Hoja79"/>
  <dimension ref="B2:I13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501</v>
      </c>
      <c r="E4" s="1252" t="s">
        <v>333</v>
      </c>
      <c r="F4" s="1251"/>
      <c r="G4" s="1248" t="s">
        <v>49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93" t="s">
        <v>10</v>
      </c>
      <c r="G5" s="31" t="s">
        <v>14</v>
      </c>
      <c r="H5" s="32" t="s">
        <v>10</v>
      </c>
      <c r="I5" s="6"/>
    </row>
    <row r="6" spans="2:9" s="3" customFormat="1" x14ac:dyDescent="0.3">
      <c r="B6" s="19">
        <v>1</v>
      </c>
      <c r="C6" s="16">
        <v>6</v>
      </c>
      <c r="D6" s="9" t="s">
        <v>502</v>
      </c>
      <c r="E6" s="24">
        <f>3673.8/3</f>
        <v>1224.6000000000001</v>
      </c>
      <c r="F6" s="23">
        <f>+E6*3</f>
        <v>3673.8</v>
      </c>
      <c r="G6" s="24">
        <f>5442.06/3</f>
        <v>1814.0200000000002</v>
      </c>
      <c r="H6" s="27">
        <f>G6*3</f>
        <v>5442.06</v>
      </c>
      <c r="I6" s="547"/>
    </row>
    <row r="7" spans="2:9" s="3" customFormat="1" ht="18" thickBot="1" x14ac:dyDescent="0.35">
      <c r="B7" s="19">
        <v>2</v>
      </c>
      <c r="C7" s="16">
        <v>2</v>
      </c>
      <c r="D7" s="9" t="s">
        <v>503</v>
      </c>
      <c r="E7" s="24">
        <f>14220.77/C7</f>
        <v>7110.3850000000002</v>
      </c>
      <c r="F7" s="23">
        <f>+E7*C7</f>
        <v>14220.77</v>
      </c>
      <c r="G7" s="24">
        <f>24565.62/3</f>
        <v>8188.54</v>
      </c>
      <c r="H7" s="27">
        <f>+G7*C7</f>
        <v>16377.08</v>
      </c>
      <c r="I7" s="547"/>
    </row>
    <row r="8" spans="2:9" x14ac:dyDescent="0.3">
      <c r="B8" s="1217" t="s">
        <v>4</v>
      </c>
      <c r="C8" s="1218"/>
      <c r="D8" s="1219"/>
      <c r="E8" s="1245">
        <f>SUM(F6:F7)</f>
        <v>17894.57</v>
      </c>
      <c r="F8" s="1246"/>
      <c r="G8" s="1245">
        <f>SUM(H6:H7)</f>
        <v>21819.14</v>
      </c>
      <c r="H8" s="1247"/>
    </row>
    <row r="9" spans="2:9" x14ac:dyDescent="0.3">
      <c r="B9" s="1205" t="s">
        <v>5</v>
      </c>
      <c r="C9" s="1206"/>
      <c r="D9" s="1207"/>
      <c r="E9" s="1283">
        <v>0.2</v>
      </c>
      <c r="F9" s="1284"/>
      <c r="G9" s="1242">
        <v>0</v>
      </c>
      <c r="H9" s="1244"/>
    </row>
    <row r="10" spans="2:9" x14ac:dyDescent="0.3">
      <c r="B10" s="1208" t="s">
        <v>2</v>
      </c>
      <c r="C10" s="1209"/>
      <c r="D10" s="1210"/>
      <c r="E10" s="1242">
        <f>(E8)*15%</f>
        <v>2684.1855</v>
      </c>
      <c r="F10" s="1243"/>
      <c r="G10" s="1242">
        <f>(G8)*15%</f>
        <v>3272.8709999999996</v>
      </c>
      <c r="H10" s="1244"/>
    </row>
    <row r="11" spans="2:9" ht="18" thickBot="1" x14ac:dyDescent="0.35">
      <c r="B11" s="1202" t="s">
        <v>3</v>
      </c>
      <c r="C11" s="1203"/>
      <c r="D11" s="1204"/>
      <c r="E11" s="1253">
        <f>(E8)+E10</f>
        <v>20578.755499999999</v>
      </c>
      <c r="F11" s="1254"/>
      <c r="G11" s="1253">
        <f>(G8)+G10</f>
        <v>25092.010999999999</v>
      </c>
      <c r="H11" s="1255"/>
    </row>
    <row r="13" spans="2:9" x14ac:dyDescent="0.3">
      <c r="F13" s="4"/>
      <c r="G13" s="4"/>
      <c r="H13" s="4"/>
    </row>
  </sheetData>
  <mergeCells count="16">
    <mergeCell ref="B11:D11"/>
    <mergeCell ref="E11:F11"/>
    <mergeCell ref="G11:H11"/>
    <mergeCell ref="B9:D9"/>
    <mergeCell ref="E9:F9"/>
    <mergeCell ref="G9:H9"/>
    <mergeCell ref="B10:D10"/>
    <mergeCell ref="E10:F10"/>
    <mergeCell ref="G10:H10"/>
    <mergeCell ref="B3:H3"/>
    <mergeCell ref="B4:B5"/>
    <mergeCell ref="E4:F4"/>
    <mergeCell ref="G4:H4"/>
    <mergeCell ref="B8:D8"/>
    <mergeCell ref="E8:F8"/>
    <mergeCell ref="G8:H8"/>
  </mergeCells>
  <conditionalFormatting sqref="F6 H6">
    <cfRule type="expression" dxfId="241" priority="3">
      <formula>E6=""</formula>
    </cfRule>
    <cfRule type="expression" dxfId="240" priority="4">
      <formula>E6=MIN($E6,$G6,#REF!)</formula>
    </cfRule>
  </conditionalFormatting>
  <conditionalFormatting sqref="F7 H7">
    <cfRule type="expression" dxfId="239" priority="1">
      <formula>E7=""</formula>
    </cfRule>
    <cfRule type="expression" dxfId="238" priority="2">
      <formula>E7=MIN($E7,$G7,#REF!)</formula>
    </cfRule>
  </conditionalFormatting>
  <pageMargins left="0.25" right="0.25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13BCB-EB9D-4F40-B6D5-5512DA85EDBD}">
  <sheetPr codeName="Hoja8"/>
  <dimension ref="B2:K12"/>
  <sheetViews>
    <sheetView showGridLines="0" workbookViewId="0">
      <selection activeCell="B1" sqref="B1"/>
    </sheetView>
  </sheetViews>
  <sheetFormatPr baseColWidth="10" defaultRowHeight="17.25" x14ac:dyDescent="0.25"/>
  <cols>
    <col min="1" max="1" width="2.7109375" style="2" bestFit="1" customWidth="1"/>
    <col min="2" max="2" width="3.42578125" style="2" bestFit="1" customWidth="1"/>
    <col min="3" max="3" width="6.7109375" style="2" bestFit="1" customWidth="1"/>
    <col min="4" max="4" width="20.85546875" style="2" bestFit="1" customWidth="1"/>
    <col min="5" max="8" width="14.140625" style="2" bestFit="1" customWidth="1"/>
    <col min="9" max="9" width="12.28515625" style="2" hidden="1" customWidth="1"/>
    <col min="10" max="10" width="10.85546875" style="2" hidden="1" customWidth="1"/>
    <col min="11" max="11" width="13.42578125" style="6" bestFit="1" customWidth="1"/>
    <col min="12" max="12" width="13.42578125" style="2" bestFit="1" customWidth="1"/>
    <col min="13" max="16384" width="11.42578125" style="2"/>
  </cols>
  <sheetData>
    <row r="2" spans="2:11" ht="18" thickBot="1" x14ac:dyDescent="0.3"/>
    <row r="3" spans="2:11" ht="18" thickBot="1" x14ac:dyDescent="0.3">
      <c r="B3" s="1248" t="s">
        <v>1</v>
      </c>
      <c r="C3" s="1249"/>
      <c r="D3" s="1249"/>
      <c r="E3" s="1250"/>
      <c r="F3" s="1250"/>
      <c r="G3" s="1250"/>
      <c r="H3" s="1250"/>
      <c r="I3" s="1250"/>
      <c r="J3" s="1251"/>
    </row>
    <row r="4" spans="2:11" ht="18" thickBot="1" x14ac:dyDescent="0.3">
      <c r="B4" s="1215" t="s">
        <v>6</v>
      </c>
      <c r="C4" s="29" t="s">
        <v>17</v>
      </c>
      <c r="D4" s="30" t="s">
        <v>78</v>
      </c>
      <c r="E4" s="1252" t="s">
        <v>80</v>
      </c>
      <c r="F4" s="1251"/>
      <c r="G4" s="1248" t="s">
        <v>81</v>
      </c>
      <c r="H4" s="1251"/>
      <c r="I4" s="1248" t="s">
        <v>9</v>
      </c>
      <c r="J4" s="1251"/>
    </row>
    <row r="5" spans="2:11" ht="18" thickBot="1" x14ac:dyDescent="0.3">
      <c r="B5" s="1216"/>
      <c r="C5" s="33" t="s">
        <v>11</v>
      </c>
      <c r="D5" s="21" t="s">
        <v>0</v>
      </c>
      <c r="E5" s="31" t="s">
        <v>14</v>
      </c>
      <c r="F5" s="141" t="s">
        <v>10</v>
      </c>
      <c r="G5" s="31" t="s">
        <v>14</v>
      </c>
      <c r="H5" s="141" t="s">
        <v>10</v>
      </c>
      <c r="I5" s="31" t="s">
        <v>14</v>
      </c>
      <c r="J5" s="32" t="s">
        <v>10</v>
      </c>
    </row>
    <row r="6" spans="2:11" s="157" customFormat="1" ht="35.25" thickBot="1" x14ac:dyDescent="0.3">
      <c r="B6" s="19">
        <v>1</v>
      </c>
      <c r="C6" s="158">
        <v>1</v>
      </c>
      <c r="D6" s="159" t="s">
        <v>79</v>
      </c>
      <c r="E6" s="160">
        <v>1382.6</v>
      </c>
      <c r="F6" s="161">
        <f>+E6*C6</f>
        <v>1382.6</v>
      </c>
      <c r="G6" s="160">
        <v>1833.45</v>
      </c>
      <c r="H6" s="161">
        <f>+G6*C6</f>
        <v>1833.45</v>
      </c>
      <c r="I6" s="160"/>
      <c r="J6" s="162">
        <f>+I6*C6</f>
        <v>0</v>
      </c>
      <c r="K6" s="163"/>
    </row>
    <row r="7" spans="2:11" x14ac:dyDescent="0.25">
      <c r="B7" s="1217" t="s">
        <v>4</v>
      </c>
      <c r="C7" s="1218"/>
      <c r="D7" s="1219"/>
      <c r="E7" s="1245">
        <f>SUM(F6:F6)</f>
        <v>1382.6</v>
      </c>
      <c r="F7" s="1246"/>
      <c r="G7" s="1245">
        <f>SUM(H6:H6)</f>
        <v>1833.45</v>
      </c>
      <c r="H7" s="1246"/>
      <c r="I7" s="1245">
        <f>SUM(J6:J6)</f>
        <v>0</v>
      </c>
      <c r="J7" s="1247"/>
    </row>
    <row r="8" spans="2:11" x14ac:dyDescent="0.25">
      <c r="B8" s="1205" t="s">
        <v>5</v>
      </c>
      <c r="C8" s="1206"/>
      <c r="D8" s="1207"/>
      <c r="E8" s="1242">
        <v>0</v>
      </c>
      <c r="F8" s="1243"/>
      <c r="G8" s="1242">
        <v>0</v>
      </c>
      <c r="H8" s="1243"/>
      <c r="I8" s="1242">
        <v>0</v>
      </c>
      <c r="J8" s="1244"/>
    </row>
    <row r="9" spans="2:11" x14ac:dyDescent="0.25">
      <c r="B9" s="1205" t="s">
        <v>2</v>
      </c>
      <c r="C9" s="1206"/>
      <c r="D9" s="1207"/>
      <c r="E9" s="1242">
        <f>(E7-E8)*15%</f>
        <v>207.39</v>
      </c>
      <c r="F9" s="1243"/>
      <c r="G9" s="1242">
        <f>(G7-G8)*15%</f>
        <v>275.01749999999998</v>
      </c>
      <c r="H9" s="1243"/>
      <c r="I9" s="1242">
        <f>(I7-I8)*15%</f>
        <v>0</v>
      </c>
      <c r="J9" s="1244"/>
    </row>
    <row r="10" spans="2:11" ht="18" thickBot="1" x14ac:dyDescent="0.3">
      <c r="B10" s="1236" t="s">
        <v>3</v>
      </c>
      <c r="C10" s="1237"/>
      <c r="D10" s="1238"/>
      <c r="E10" s="1239">
        <f>(E7-E8)+E9</f>
        <v>1589.9899999999998</v>
      </c>
      <c r="F10" s="1240"/>
      <c r="G10" s="1239">
        <f>(G7-G8)+G9</f>
        <v>2108.4675000000002</v>
      </c>
      <c r="H10" s="1240"/>
      <c r="I10" s="1239">
        <f>(I7-I8)+I9</f>
        <v>0</v>
      </c>
      <c r="J10" s="1241"/>
    </row>
    <row r="12" spans="2:11" x14ac:dyDescent="0.25">
      <c r="F12" s="164"/>
      <c r="G12" s="164"/>
      <c r="H12" s="164"/>
      <c r="J12" s="164"/>
    </row>
  </sheetData>
  <mergeCells count="21">
    <mergeCell ref="B7:D7"/>
    <mergeCell ref="E7:F7"/>
    <mergeCell ref="G7:H7"/>
    <mergeCell ref="I7:J7"/>
    <mergeCell ref="B3:J3"/>
    <mergeCell ref="B4:B5"/>
    <mergeCell ref="E4:F4"/>
    <mergeCell ref="G4:H4"/>
    <mergeCell ref="I4:J4"/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</mergeCells>
  <conditionalFormatting sqref="F6 H6 J6">
    <cfRule type="expression" dxfId="516" priority="5">
      <formula>E6=""</formula>
    </cfRule>
    <cfRule type="expression" dxfId="515" priority="6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6EBE4-E6AD-41B1-A087-83DF083E82ED}">
  <sheetPr codeName="Hoja80"/>
  <dimension ref="B2:I11"/>
  <sheetViews>
    <sheetView showGridLines="0" workbookViewId="0">
      <selection activeCell="E4" sqref="E4:F4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3.42578125" style="5" bestFit="1" customWidth="1"/>
    <col min="10" max="10" width="13.42578125" style="1" bestFit="1" customWidth="1"/>
    <col min="11" max="16384" width="11.4257812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504</v>
      </c>
      <c r="E4" s="1252" t="s">
        <v>505</v>
      </c>
      <c r="F4" s="1251"/>
      <c r="G4" s="1248" t="s">
        <v>506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698" t="s">
        <v>10</v>
      </c>
      <c r="G5" s="31" t="s">
        <v>14</v>
      </c>
      <c r="H5" s="32" t="s">
        <v>10</v>
      </c>
      <c r="I5" s="6"/>
    </row>
    <row r="6" spans="2:9" s="3" customFormat="1" ht="18" thickBot="1" x14ac:dyDescent="0.35">
      <c r="B6" s="19">
        <v>1</v>
      </c>
      <c r="C6" s="16">
        <v>5</v>
      </c>
      <c r="D6" s="9" t="s">
        <v>383</v>
      </c>
      <c r="E6" s="24">
        <v>800</v>
      </c>
      <c r="F6" s="23">
        <f>+E6*C6</f>
        <v>4000</v>
      </c>
      <c r="G6" s="24">
        <v>1100</v>
      </c>
      <c r="H6" s="27">
        <f>G6*C6</f>
        <v>5500</v>
      </c>
      <c r="I6" s="547"/>
    </row>
    <row r="7" spans="2:9" x14ac:dyDescent="0.3">
      <c r="B7" s="1217" t="s">
        <v>4</v>
      </c>
      <c r="C7" s="1218"/>
      <c r="D7" s="1219"/>
      <c r="E7" s="1245">
        <f>SUM(F6:F6)</f>
        <v>4000</v>
      </c>
      <c r="F7" s="1246"/>
      <c r="G7" s="1245">
        <f>SUM(H6:H6)</f>
        <v>5500</v>
      </c>
      <c r="H7" s="1247"/>
    </row>
    <row r="8" spans="2:9" x14ac:dyDescent="0.3">
      <c r="B8" s="1208" t="s">
        <v>2</v>
      </c>
      <c r="C8" s="1209"/>
      <c r="D8" s="1210"/>
      <c r="E8" s="1242">
        <v>0</v>
      </c>
      <c r="F8" s="1243"/>
      <c r="G8" s="1242">
        <v>0</v>
      </c>
      <c r="H8" s="1244"/>
    </row>
    <row r="9" spans="2:9" ht="18" thickBot="1" x14ac:dyDescent="0.35">
      <c r="B9" s="1202" t="s">
        <v>3</v>
      </c>
      <c r="C9" s="1203"/>
      <c r="D9" s="1204"/>
      <c r="E9" s="1253">
        <f>(E7)+E8</f>
        <v>4000</v>
      </c>
      <c r="F9" s="1254"/>
      <c r="G9" s="1253">
        <f>(G7)+G8</f>
        <v>5500</v>
      </c>
      <c r="H9" s="1255"/>
    </row>
    <row r="11" spans="2:9" x14ac:dyDescent="0.3">
      <c r="F11" s="4"/>
      <c r="G11" s="4"/>
      <c r="H11" s="4"/>
    </row>
  </sheetData>
  <mergeCells count="13">
    <mergeCell ref="B3:H3"/>
    <mergeCell ref="B4:B5"/>
    <mergeCell ref="E4:F4"/>
    <mergeCell ref="G4:H4"/>
    <mergeCell ref="B7:D7"/>
    <mergeCell ref="E7:F7"/>
    <mergeCell ref="G7:H7"/>
    <mergeCell ref="B9:D9"/>
    <mergeCell ref="E9:F9"/>
    <mergeCell ref="G9:H9"/>
    <mergeCell ref="B8:D8"/>
    <mergeCell ref="E8:F8"/>
    <mergeCell ref="G8:H8"/>
  </mergeCells>
  <conditionalFormatting sqref="F6 H6">
    <cfRule type="expression" dxfId="237" priority="3">
      <formula>E6=""</formula>
    </cfRule>
    <cfRule type="expression" dxfId="236" priority="4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16E7E-D039-41D4-BD17-F061E316BB2B}">
  <sheetPr codeName="Hoja81"/>
  <dimension ref="A2:Q33"/>
  <sheetViews>
    <sheetView showGridLines="0" workbookViewId="0">
      <selection activeCell="C11" sqref="C11"/>
    </sheetView>
  </sheetViews>
  <sheetFormatPr baseColWidth="10" defaultRowHeight="12.75" x14ac:dyDescent="0.2"/>
  <cols>
    <col min="1" max="1" width="2.5703125" style="142" bestFit="1" customWidth="1"/>
    <col min="2" max="2" width="5.28515625" style="142" bestFit="1" customWidth="1"/>
    <col min="3" max="3" width="14.5703125" style="142" bestFit="1" customWidth="1"/>
    <col min="4" max="4" width="5.28515625" style="142" bestFit="1" customWidth="1"/>
    <col min="5" max="5" width="9.5703125" style="142" bestFit="1" customWidth="1"/>
    <col min="6" max="6" width="12" style="142" bestFit="1" customWidth="1"/>
    <col min="7" max="7" width="5.28515625" style="142" bestFit="1" customWidth="1"/>
    <col min="8" max="8" width="9.5703125" style="142" bestFit="1" customWidth="1"/>
    <col min="9" max="9" width="12" style="142" bestFit="1" customWidth="1"/>
    <col min="10" max="10" width="5.28515625" style="142" bestFit="1" customWidth="1"/>
    <col min="11" max="11" width="11" style="142" bestFit="1" customWidth="1"/>
    <col min="12" max="12" width="12" style="142" bestFit="1" customWidth="1"/>
    <col min="13" max="13" width="5.28515625" style="142" bestFit="1" customWidth="1"/>
    <col min="14" max="14" width="9.5703125" style="142" bestFit="1" customWidth="1"/>
    <col min="15" max="15" width="11" style="142" bestFit="1" customWidth="1"/>
    <col min="16" max="16" width="13.42578125" style="143" bestFit="1" customWidth="1"/>
    <col min="17" max="17" width="13.42578125" style="142" bestFit="1" customWidth="1"/>
    <col min="18" max="16384" width="11.42578125" style="142"/>
  </cols>
  <sheetData>
    <row r="2" spans="1:17" ht="13.5" thickBot="1" x14ac:dyDescent="0.25"/>
    <row r="3" spans="1:17" s="73" customFormat="1" ht="13.5" thickBot="1" x14ac:dyDescent="0.25">
      <c r="A3" s="1220" t="s">
        <v>1</v>
      </c>
      <c r="B3" s="1221"/>
      <c r="C3" s="1221"/>
      <c r="D3" s="1221"/>
      <c r="E3" s="1221"/>
      <c r="F3" s="1221"/>
      <c r="G3" s="1221"/>
      <c r="H3" s="1221"/>
      <c r="I3" s="1221"/>
      <c r="J3" s="1221"/>
      <c r="K3" s="1221"/>
      <c r="L3" s="1221"/>
      <c r="M3" s="1221"/>
      <c r="N3" s="1221"/>
      <c r="O3" s="1460"/>
      <c r="P3" s="74"/>
    </row>
    <row r="4" spans="1:17" s="73" customFormat="1" ht="13.5" thickBot="1" x14ac:dyDescent="0.3">
      <c r="A4" s="1163" t="s">
        <v>6</v>
      </c>
      <c r="B4" s="97" t="s">
        <v>17</v>
      </c>
      <c r="C4" s="98" t="s">
        <v>507</v>
      </c>
      <c r="D4" s="1462" t="s">
        <v>18</v>
      </c>
      <c r="E4" s="1462"/>
      <c r="F4" s="1462"/>
      <c r="G4" s="1461" t="s">
        <v>21</v>
      </c>
      <c r="H4" s="1462"/>
      <c r="I4" s="1463"/>
      <c r="J4" s="1461" t="s">
        <v>20</v>
      </c>
      <c r="K4" s="1462"/>
      <c r="L4" s="1463"/>
      <c r="M4" s="1462" t="s">
        <v>22</v>
      </c>
      <c r="N4" s="1462"/>
      <c r="O4" s="1463"/>
      <c r="P4" s="74"/>
    </row>
    <row r="5" spans="1:17" s="73" customFormat="1" ht="13.5" thickBot="1" x14ac:dyDescent="0.3">
      <c r="A5" s="1506"/>
      <c r="B5" s="100" t="s">
        <v>11</v>
      </c>
      <c r="C5" s="718" t="s">
        <v>0</v>
      </c>
      <c r="D5" s="625" t="s">
        <v>11</v>
      </c>
      <c r="E5" s="102" t="s">
        <v>14</v>
      </c>
      <c r="F5" s="699" t="s">
        <v>10</v>
      </c>
      <c r="G5" s="709" t="s">
        <v>11</v>
      </c>
      <c r="H5" s="704" t="s">
        <v>14</v>
      </c>
      <c r="I5" s="710" t="s">
        <v>10</v>
      </c>
      <c r="J5" s="709" t="s">
        <v>11</v>
      </c>
      <c r="K5" s="102" t="s">
        <v>14</v>
      </c>
      <c r="L5" s="700" t="s">
        <v>10</v>
      </c>
      <c r="M5" s="625" t="s">
        <v>11</v>
      </c>
      <c r="N5" s="102" t="s">
        <v>14</v>
      </c>
      <c r="O5" s="700" t="s">
        <v>10</v>
      </c>
      <c r="P5" s="74"/>
    </row>
    <row r="6" spans="1:17" s="150" customFormat="1" x14ac:dyDescent="0.2">
      <c r="A6" s="702">
        <v>1</v>
      </c>
      <c r="B6" s="719">
        <v>28</v>
      </c>
      <c r="C6" s="720" t="s">
        <v>420</v>
      </c>
      <c r="D6" s="707" t="s">
        <v>36</v>
      </c>
      <c r="E6" s="146" t="s">
        <v>36</v>
      </c>
      <c r="F6" s="706" t="s">
        <v>36</v>
      </c>
      <c r="G6" s="711" t="s">
        <v>36</v>
      </c>
      <c r="H6" s="703" t="s">
        <v>36</v>
      </c>
      <c r="I6" s="712" t="s">
        <v>36</v>
      </c>
      <c r="J6" s="711">
        <v>28</v>
      </c>
      <c r="K6" s="146">
        <f>8.09*TC!C3</f>
        <v>288.77093200000002</v>
      </c>
      <c r="L6" s="148">
        <f>+K6*J6</f>
        <v>8085.5860960000009</v>
      </c>
      <c r="M6" s="707" t="s">
        <v>36</v>
      </c>
      <c r="N6" s="146" t="s">
        <v>36</v>
      </c>
      <c r="O6" s="148" t="s">
        <v>36</v>
      </c>
      <c r="P6" s="149"/>
    </row>
    <row r="7" spans="1:17" s="150" customFormat="1" x14ac:dyDescent="0.2">
      <c r="A7" s="717">
        <v>2</v>
      </c>
      <c r="B7" s="721">
        <v>25</v>
      </c>
      <c r="C7" s="722" t="s">
        <v>422</v>
      </c>
      <c r="D7" s="708">
        <v>25</v>
      </c>
      <c r="E7" s="153">
        <f>11.36*TC!C3</f>
        <v>405.49292800000001</v>
      </c>
      <c r="F7" s="706">
        <f>+E7*D7</f>
        <v>10137.323200000001</v>
      </c>
      <c r="G7" s="713" t="s">
        <v>36</v>
      </c>
      <c r="H7" s="705" t="s">
        <v>36</v>
      </c>
      <c r="I7" s="712" t="s">
        <v>36</v>
      </c>
      <c r="J7" s="713">
        <v>25</v>
      </c>
      <c r="K7" s="153">
        <f>15.24*TC!C3</f>
        <v>543.98875199999998</v>
      </c>
      <c r="L7" s="148">
        <f>+K7*$J7</f>
        <v>13599.718799999999</v>
      </c>
      <c r="M7" s="708" t="s">
        <v>36</v>
      </c>
      <c r="N7" s="153" t="s">
        <v>36</v>
      </c>
      <c r="O7" s="148" t="s">
        <v>36</v>
      </c>
      <c r="P7" s="149"/>
    </row>
    <row r="8" spans="1:17" s="150" customFormat="1" x14ac:dyDescent="0.2">
      <c r="A8" s="717">
        <v>3</v>
      </c>
      <c r="B8" s="721">
        <v>12</v>
      </c>
      <c r="C8" s="722" t="s">
        <v>421</v>
      </c>
      <c r="D8" s="708">
        <v>12</v>
      </c>
      <c r="E8" s="153">
        <f>0.53*TC!C3</f>
        <v>18.918244000000001</v>
      </c>
      <c r="F8" s="706">
        <f>+E8*$D8</f>
        <v>227.01892800000002</v>
      </c>
      <c r="G8" s="713">
        <v>12</v>
      </c>
      <c r="H8" s="705">
        <v>26.46</v>
      </c>
      <c r="I8" s="712">
        <f>+H8*$G8</f>
        <v>317.52</v>
      </c>
      <c r="J8" s="713">
        <v>12</v>
      </c>
      <c r="K8" s="153">
        <f>0.55*TC!C3</f>
        <v>19.632140000000003</v>
      </c>
      <c r="L8" s="148">
        <f t="shared" ref="L8" si="0">+K8*$J8</f>
        <v>235.58568000000002</v>
      </c>
      <c r="M8" s="708" t="s">
        <v>36</v>
      </c>
      <c r="N8" s="153" t="s">
        <v>36</v>
      </c>
      <c r="O8" s="148" t="s">
        <v>36</v>
      </c>
      <c r="P8" s="149"/>
    </row>
    <row r="9" spans="1:17" s="150" customFormat="1" x14ac:dyDescent="0.2">
      <c r="A9" s="717">
        <v>4</v>
      </c>
      <c r="B9" s="721">
        <v>20</v>
      </c>
      <c r="C9" s="722" t="s">
        <v>423</v>
      </c>
      <c r="D9" s="708" t="s">
        <v>36</v>
      </c>
      <c r="E9" s="153" t="s">
        <v>36</v>
      </c>
      <c r="F9" s="706" t="s">
        <v>36</v>
      </c>
      <c r="G9" s="713">
        <v>20</v>
      </c>
      <c r="H9" s="705">
        <v>598.36</v>
      </c>
      <c r="I9" s="712">
        <f>+H9*$G9</f>
        <v>11967.2</v>
      </c>
      <c r="J9" s="713" t="s">
        <v>36</v>
      </c>
      <c r="K9" s="153" t="s">
        <v>36</v>
      </c>
      <c r="L9" s="148" t="s">
        <v>36</v>
      </c>
      <c r="M9" s="708" t="s">
        <v>36</v>
      </c>
      <c r="N9" s="153" t="s">
        <v>36</v>
      </c>
      <c r="O9" s="148" t="s">
        <v>36</v>
      </c>
      <c r="P9" s="149"/>
    </row>
    <row r="10" spans="1:17" s="150" customFormat="1" x14ac:dyDescent="0.2">
      <c r="A10" s="717">
        <v>5</v>
      </c>
      <c r="B10" s="721">
        <v>4</v>
      </c>
      <c r="C10" s="722" t="s">
        <v>508</v>
      </c>
      <c r="D10" s="708">
        <v>4</v>
      </c>
      <c r="E10" s="153">
        <f>7.53*TC!C3</f>
        <v>268.78184400000004</v>
      </c>
      <c r="F10" s="706">
        <f>+E10*D10</f>
        <v>1075.1273760000001</v>
      </c>
      <c r="G10" s="713" t="s">
        <v>36</v>
      </c>
      <c r="H10" s="705" t="s">
        <v>36</v>
      </c>
      <c r="I10" s="712" t="s">
        <v>36</v>
      </c>
      <c r="J10" s="713">
        <v>4</v>
      </c>
      <c r="K10" s="153">
        <f>1.58*TC!C3</f>
        <v>56.397784000000001</v>
      </c>
      <c r="L10" s="148">
        <f>+K10*J10</f>
        <v>225.59113600000001</v>
      </c>
      <c r="M10" s="708" t="s">
        <v>36</v>
      </c>
      <c r="N10" s="153" t="s">
        <v>36</v>
      </c>
      <c r="O10" s="148" t="s">
        <v>36</v>
      </c>
      <c r="P10" s="149"/>
      <c r="Q10" s="736"/>
    </row>
    <row r="11" spans="1:17" s="150" customFormat="1" x14ac:dyDescent="0.2">
      <c r="A11" s="717">
        <v>6</v>
      </c>
      <c r="B11" s="725">
        <v>33</v>
      </c>
      <c r="C11" s="726" t="s">
        <v>509</v>
      </c>
      <c r="D11" s="727"/>
      <c r="E11" s="728"/>
      <c r="F11" s="729"/>
      <c r="G11" s="730"/>
      <c r="H11" s="731"/>
      <c r="I11" s="732"/>
      <c r="J11" s="730"/>
      <c r="K11" s="728"/>
      <c r="L11" s="733"/>
      <c r="M11" s="727"/>
      <c r="N11" s="728"/>
      <c r="O11" s="733"/>
      <c r="P11" s="149"/>
    </row>
    <row r="12" spans="1:17" s="150" customFormat="1" x14ac:dyDescent="0.2">
      <c r="A12" s="717"/>
      <c r="B12" s="721">
        <v>3</v>
      </c>
      <c r="C12" s="722">
        <v>36</v>
      </c>
      <c r="D12" s="708">
        <v>4</v>
      </c>
      <c r="E12" s="153">
        <f>8.89*TC!$C$3</f>
        <v>317.32677200000001</v>
      </c>
      <c r="F12" s="706">
        <f>+E12*D12</f>
        <v>1269.307088</v>
      </c>
      <c r="G12" s="713">
        <v>3</v>
      </c>
      <c r="H12" s="705">
        <v>337.73</v>
      </c>
      <c r="I12" s="712">
        <f>+H12*G12</f>
        <v>1013.19</v>
      </c>
      <c r="J12" s="713">
        <v>3</v>
      </c>
      <c r="K12" s="153">
        <f>9.2*TC!$C$3</f>
        <v>328.39215999999999</v>
      </c>
      <c r="L12" s="148">
        <f>+K12*J12</f>
        <v>985.17647999999997</v>
      </c>
      <c r="M12" s="708">
        <v>3</v>
      </c>
      <c r="N12" s="153">
        <v>247.83</v>
      </c>
      <c r="O12" s="148">
        <f>+N12*M12</f>
        <v>743.49</v>
      </c>
      <c r="P12" s="149"/>
    </row>
    <row r="13" spans="1:17" s="150" customFormat="1" x14ac:dyDescent="0.2">
      <c r="A13" s="717"/>
      <c r="B13" s="721">
        <v>4</v>
      </c>
      <c r="C13" s="722">
        <v>37</v>
      </c>
      <c r="D13" s="708">
        <v>4</v>
      </c>
      <c r="E13" s="153">
        <f>8.89*TC!$C$3</f>
        <v>317.32677200000001</v>
      </c>
      <c r="F13" s="706">
        <f t="shared" ref="F13:F18" si="1">+E13*D13</f>
        <v>1269.307088</v>
      </c>
      <c r="G13" s="713">
        <v>4</v>
      </c>
      <c r="H13" s="705">
        <v>337.73</v>
      </c>
      <c r="I13" s="712">
        <f t="shared" ref="I13:I15" si="2">+H13*G13</f>
        <v>1350.92</v>
      </c>
      <c r="J13" s="713">
        <v>4</v>
      </c>
      <c r="K13" s="153">
        <f>9.2*TC!$C$3</f>
        <v>328.39215999999999</v>
      </c>
      <c r="L13" s="148">
        <f t="shared" ref="L13:L18" si="3">+K13*J13</f>
        <v>1313.56864</v>
      </c>
      <c r="M13" s="708">
        <v>4</v>
      </c>
      <c r="N13" s="153">
        <v>247.83</v>
      </c>
      <c r="O13" s="148">
        <f>+N13*M13</f>
        <v>991.32</v>
      </c>
      <c r="P13" s="149"/>
    </row>
    <row r="14" spans="1:17" s="150" customFormat="1" x14ac:dyDescent="0.2">
      <c r="A14" s="717"/>
      <c r="B14" s="721">
        <v>4</v>
      </c>
      <c r="C14" s="722">
        <v>38</v>
      </c>
      <c r="D14" s="708">
        <v>4</v>
      </c>
      <c r="E14" s="153">
        <f>8.89*TC!$C$3</f>
        <v>317.32677200000001</v>
      </c>
      <c r="F14" s="706">
        <f t="shared" si="1"/>
        <v>1269.307088</v>
      </c>
      <c r="G14" s="713">
        <v>4</v>
      </c>
      <c r="H14" s="705">
        <v>337.73</v>
      </c>
      <c r="I14" s="712">
        <f t="shared" si="2"/>
        <v>1350.92</v>
      </c>
      <c r="J14" s="713">
        <v>4</v>
      </c>
      <c r="K14" s="153">
        <f>9.2*TC!$C$3</f>
        <v>328.39215999999999</v>
      </c>
      <c r="L14" s="148">
        <f t="shared" si="3"/>
        <v>1313.56864</v>
      </c>
      <c r="M14" s="708">
        <v>4</v>
      </c>
      <c r="N14" s="153">
        <v>247.83</v>
      </c>
      <c r="O14" s="148">
        <f>+N14*M14</f>
        <v>991.32</v>
      </c>
      <c r="P14" s="149"/>
    </row>
    <row r="15" spans="1:17" s="150" customFormat="1" x14ac:dyDescent="0.2">
      <c r="A15" s="717"/>
      <c r="B15" s="721">
        <v>6</v>
      </c>
      <c r="C15" s="722">
        <v>39</v>
      </c>
      <c r="D15" s="708">
        <v>6</v>
      </c>
      <c r="E15" s="153">
        <f>8.89*TC!$C$3</f>
        <v>317.32677200000001</v>
      </c>
      <c r="F15" s="706">
        <f t="shared" si="1"/>
        <v>1903.960632</v>
      </c>
      <c r="G15" s="713">
        <v>6</v>
      </c>
      <c r="H15" s="705">
        <v>337.73</v>
      </c>
      <c r="I15" s="712">
        <f t="shared" si="2"/>
        <v>2026.38</v>
      </c>
      <c r="J15" s="713">
        <v>6</v>
      </c>
      <c r="K15" s="153">
        <f>9.2*TC!$C$3</f>
        <v>328.39215999999999</v>
      </c>
      <c r="L15" s="148">
        <f t="shared" si="3"/>
        <v>1970.3529599999999</v>
      </c>
      <c r="M15" s="708" t="s">
        <v>36</v>
      </c>
      <c r="N15" s="153" t="s">
        <v>36</v>
      </c>
      <c r="O15" s="148" t="s">
        <v>36</v>
      </c>
      <c r="P15" s="149"/>
    </row>
    <row r="16" spans="1:17" s="150" customFormat="1" x14ac:dyDescent="0.2">
      <c r="A16" s="717"/>
      <c r="B16" s="721">
        <v>4</v>
      </c>
      <c r="C16" s="722">
        <v>40</v>
      </c>
      <c r="D16" s="708">
        <v>4</v>
      </c>
      <c r="E16" s="153">
        <f>8.89*TC!$C$3</f>
        <v>317.32677200000001</v>
      </c>
      <c r="F16" s="706">
        <f t="shared" si="1"/>
        <v>1269.307088</v>
      </c>
      <c r="G16" s="713" t="s">
        <v>36</v>
      </c>
      <c r="H16" s="705" t="s">
        <v>36</v>
      </c>
      <c r="I16" s="712" t="s">
        <v>36</v>
      </c>
      <c r="J16" s="713">
        <v>4</v>
      </c>
      <c r="K16" s="153">
        <f>9.2*TC!$C$3</f>
        <v>328.39215999999999</v>
      </c>
      <c r="L16" s="148">
        <f t="shared" si="3"/>
        <v>1313.56864</v>
      </c>
      <c r="M16" s="708" t="s">
        <v>36</v>
      </c>
      <c r="N16" s="153" t="s">
        <v>36</v>
      </c>
      <c r="O16" s="148" t="s">
        <v>36</v>
      </c>
      <c r="P16" s="149"/>
    </row>
    <row r="17" spans="1:17" s="150" customFormat="1" x14ac:dyDescent="0.2">
      <c r="A17" s="717"/>
      <c r="B17" s="721">
        <v>8</v>
      </c>
      <c r="C17" s="722">
        <v>42</v>
      </c>
      <c r="D17" s="708">
        <v>8</v>
      </c>
      <c r="E17" s="153">
        <f>8.89*TC!$C$3</f>
        <v>317.32677200000001</v>
      </c>
      <c r="F17" s="706">
        <f t="shared" si="1"/>
        <v>2538.614176</v>
      </c>
      <c r="G17" s="713" t="s">
        <v>36</v>
      </c>
      <c r="H17" s="705" t="s">
        <v>36</v>
      </c>
      <c r="I17" s="712" t="s">
        <v>36</v>
      </c>
      <c r="J17" s="713">
        <v>8</v>
      </c>
      <c r="K17" s="153">
        <f>9.2*TC!$C$3</f>
        <v>328.39215999999999</v>
      </c>
      <c r="L17" s="148">
        <f t="shared" si="3"/>
        <v>2627.1372799999999</v>
      </c>
      <c r="M17" s="708" t="s">
        <v>36</v>
      </c>
      <c r="N17" s="153" t="s">
        <v>36</v>
      </c>
      <c r="O17" s="148" t="s">
        <v>36</v>
      </c>
      <c r="P17" s="149"/>
    </row>
    <row r="18" spans="1:17" s="150" customFormat="1" x14ac:dyDescent="0.2">
      <c r="A18" s="717"/>
      <c r="B18" s="721">
        <v>4</v>
      </c>
      <c r="C18" s="722">
        <v>43</v>
      </c>
      <c r="D18" s="708">
        <v>4</v>
      </c>
      <c r="E18" s="153">
        <f>8.89*TC!$C$3</f>
        <v>317.32677200000001</v>
      </c>
      <c r="F18" s="706">
        <f t="shared" si="1"/>
        <v>1269.307088</v>
      </c>
      <c r="G18" s="713">
        <v>4</v>
      </c>
      <c r="H18" s="705">
        <v>337.73</v>
      </c>
      <c r="I18" s="712">
        <f>+H18*G18</f>
        <v>1350.92</v>
      </c>
      <c r="J18" s="713">
        <v>4</v>
      </c>
      <c r="K18" s="153">
        <f>9.2*TC!$C$3</f>
        <v>328.39215999999999</v>
      </c>
      <c r="L18" s="148">
        <f t="shared" si="3"/>
        <v>1313.56864</v>
      </c>
      <c r="M18" s="708">
        <v>4</v>
      </c>
      <c r="N18" s="153">
        <v>247.83</v>
      </c>
      <c r="O18" s="148">
        <f>+N18*M18</f>
        <v>991.32</v>
      </c>
      <c r="P18" s="149"/>
    </row>
    <row r="19" spans="1:17" s="150" customFormat="1" x14ac:dyDescent="0.2">
      <c r="A19" s="717">
        <v>7</v>
      </c>
      <c r="B19" s="725">
        <v>11</v>
      </c>
      <c r="C19" s="726" t="s">
        <v>511</v>
      </c>
      <c r="D19" s="727"/>
      <c r="E19" s="728"/>
      <c r="F19" s="729"/>
      <c r="G19" s="730"/>
      <c r="H19" s="731"/>
      <c r="I19" s="732"/>
      <c r="J19" s="730"/>
      <c r="K19" s="728"/>
      <c r="L19" s="733"/>
      <c r="M19" s="727"/>
      <c r="N19" s="728"/>
      <c r="O19" s="733"/>
      <c r="P19" s="149"/>
    </row>
    <row r="20" spans="1:17" s="150" customFormat="1" x14ac:dyDescent="0.2">
      <c r="A20" s="717"/>
      <c r="B20" s="721">
        <v>3</v>
      </c>
      <c r="C20" s="722">
        <v>39</v>
      </c>
      <c r="D20" s="708" t="s">
        <v>36</v>
      </c>
      <c r="E20" s="153" t="s">
        <v>36</v>
      </c>
      <c r="F20" s="706" t="s">
        <v>36</v>
      </c>
      <c r="G20" s="713">
        <v>3</v>
      </c>
      <c r="H20" s="705">
        <v>568.58000000000004</v>
      </c>
      <c r="I20" s="712">
        <f>+H20*$G20</f>
        <v>1705.7400000000002</v>
      </c>
      <c r="J20" s="713">
        <v>3</v>
      </c>
      <c r="K20" s="153">
        <f>18.44*TC!C3</f>
        <v>658.21211200000005</v>
      </c>
      <c r="L20" s="148">
        <f>+K20*J20</f>
        <v>1974.636336</v>
      </c>
      <c r="M20" s="708">
        <v>3</v>
      </c>
      <c r="N20" s="153">
        <v>500.87</v>
      </c>
      <c r="O20" s="148">
        <f>+N20*M20</f>
        <v>1502.6100000000001</v>
      </c>
      <c r="P20" s="149"/>
      <c r="Q20" s="735"/>
    </row>
    <row r="21" spans="1:17" s="150" customFormat="1" x14ac:dyDescent="0.2">
      <c r="A21" s="717"/>
      <c r="B21" s="721">
        <v>5</v>
      </c>
      <c r="C21" s="722">
        <v>40</v>
      </c>
      <c r="D21" s="708" t="s">
        <v>36</v>
      </c>
      <c r="E21" s="153" t="s">
        <v>36</v>
      </c>
      <c r="F21" s="706" t="s">
        <v>36</v>
      </c>
      <c r="G21" s="713" t="s">
        <v>36</v>
      </c>
      <c r="H21" s="705" t="s">
        <v>36</v>
      </c>
      <c r="I21" s="712" t="s">
        <v>36</v>
      </c>
      <c r="J21" s="713">
        <v>2</v>
      </c>
      <c r="K21" s="153">
        <f>18.44*TC!C3</f>
        <v>658.21211200000005</v>
      </c>
      <c r="L21" s="148">
        <f>+K21*J21</f>
        <v>1316.4242240000001</v>
      </c>
      <c r="M21" s="708">
        <v>5</v>
      </c>
      <c r="N21" s="153">
        <v>500.87</v>
      </c>
      <c r="O21" s="148">
        <f>+N21*M21</f>
        <v>2504.35</v>
      </c>
      <c r="P21" s="149"/>
    </row>
    <row r="22" spans="1:17" s="150" customFormat="1" x14ac:dyDescent="0.2">
      <c r="A22" s="717"/>
      <c r="B22" s="721">
        <v>3</v>
      </c>
      <c r="C22" s="722">
        <v>42</v>
      </c>
      <c r="D22" s="708" t="s">
        <v>36</v>
      </c>
      <c r="E22" s="153" t="s">
        <v>36</v>
      </c>
      <c r="F22" s="706" t="s">
        <v>36</v>
      </c>
      <c r="G22" s="713" t="s">
        <v>36</v>
      </c>
      <c r="H22" s="705" t="s">
        <v>36</v>
      </c>
      <c r="I22" s="712" t="s">
        <v>36</v>
      </c>
      <c r="J22" s="713" t="s">
        <v>36</v>
      </c>
      <c r="K22" s="153" t="s">
        <v>36</v>
      </c>
      <c r="L22" s="148" t="s">
        <v>36</v>
      </c>
      <c r="M22" s="708">
        <v>3</v>
      </c>
      <c r="N22" s="153">
        <v>608.70000000000005</v>
      </c>
      <c r="O22" s="148">
        <f>+N22*M22</f>
        <v>1826.1000000000001</v>
      </c>
      <c r="P22" s="149"/>
    </row>
    <row r="23" spans="1:17" s="150" customFormat="1" x14ac:dyDescent="0.2">
      <c r="A23" s="717">
        <v>8</v>
      </c>
      <c r="B23" s="725">
        <v>12</v>
      </c>
      <c r="C23" s="726" t="s">
        <v>510</v>
      </c>
      <c r="D23" s="727"/>
      <c r="E23" s="728"/>
      <c r="F23" s="729"/>
      <c r="G23" s="730"/>
      <c r="H23" s="731"/>
      <c r="I23" s="732"/>
      <c r="J23" s="730"/>
      <c r="K23" s="728"/>
      <c r="L23" s="733"/>
      <c r="M23" s="727"/>
      <c r="N23" s="728"/>
      <c r="O23" s="733"/>
      <c r="P23" s="149"/>
    </row>
    <row r="24" spans="1:17" s="150" customFormat="1" x14ac:dyDescent="0.2">
      <c r="A24" s="702"/>
      <c r="B24" s="719">
        <v>3</v>
      </c>
      <c r="C24" s="720">
        <v>39</v>
      </c>
      <c r="D24" s="707">
        <v>3</v>
      </c>
      <c r="E24" s="146">
        <f>17.53*TC!$C$3</f>
        <v>625.72984400000007</v>
      </c>
      <c r="F24" s="706">
        <f>+E24*D24</f>
        <v>1877.1895320000003</v>
      </c>
      <c r="G24" s="711">
        <v>3</v>
      </c>
      <c r="H24" s="703">
        <v>568.58000000000004</v>
      </c>
      <c r="I24" s="712">
        <f>+H24*G24</f>
        <v>1705.7400000000002</v>
      </c>
      <c r="J24" s="711">
        <v>3</v>
      </c>
      <c r="K24" s="146">
        <f>18.44*TC!$C$3</f>
        <v>658.21211200000005</v>
      </c>
      <c r="L24" s="148">
        <f>+K24*J24</f>
        <v>1974.636336</v>
      </c>
      <c r="M24" s="707" t="s">
        <v>36</v>
      </c>
      <c r="N24" s="146" t="s">
        <v>36</v>
      </c>
      <c r="O24" s="148" t="s">
        <v>36</v>
      </c>
      <c r="P24" s="149"/>
      <c r="Q24" s="735"/>
    </row>
    <row r="25" spans="1:17" s="150" customFormat="1" x14ac:dyDescent="0.2">
      <c r="A25" s="702"/>
      <c r="B25" s="719">
        <v>3</v>
      </c>
      <c r="C25" s="720">
        <v>40</v>
      </c>
      <c r="D25" s="707">
        <v>3</v>
      </c>
      <c r="E25" s="146">
        <f>17.53*TC!$C$3</f>
        <v>625.72984400000007</v>
      </c>
      <c r="F25" s="706">
        <f t="shared" ref="F25:F27" si="4">+E25*D25</f>
        <v>1877.1895320000003</v>
      </c>
      <c r="G25" s="711">
        <v>3</v>
      </c>
      <c r="H25" s="703">
        <v>568.58000000000004</v>
      </c>
      <c r="I25" s="712">
        <f>+H25*G25</f>
        <v>1705.7400000000002</v>
      </c>
      <c r="J25" s="711">
        <v>3</v>
      </c>
      <c r="K25" s="146">
        <f>18.44*TC!$C$3</f>
        <v>658.21211200000005</v>
      </c>
      <c r="L25" s="148">
        <f>+K25*J25</f>
        <v>1974.636336</v>
      </c>
      <c r="M25" s="707" t="s">
        <v>36</v>
      </c>
      <c r="N25" s="146" t="s">
        <v>36</v>
      </c>
      <c r="O25" s="148" t="s">
        <v>36</v>
      </c>
      <c r="P25" s="149"/>
    </row>
    <row r="26" spans="1:17" s="150" customFormat="1" x14ac:dyDescent="0.2">
      <c r="A26" s="702"/>
      <c r="B26" s="719">
        <v>3</v>
      </c>
      <c r="C26" s="720">
        <v>42</v>
      </c>
      <c r="D26" s="707">
        <v>3</v>
      </c>
      <c r="E26" s="146">
        <f>17.53*TC!$C$3</f>
        <v>625.72984400000007</v>
      </c>
      <c r="F26" s="706">
        <f t="shared" si="4"/>
        <v>1877.1895320000003</v>
      </c>
      <c r="G26" s="711">
        <v>3</v>
      </c>
      <c r="H26" s="703">
        <v>568.58000000000004</v>
      </c>
      <c r="I26" s="712">
        <f t="shared" ref="I26:I27" si="5">+H26*G26</f>
        <v>1705.7400000000002</v>
      </c>
      <c r="J26" s="711">
        <v>3</v>
      </c>
      <c r="K26" s="146">
        <f>18.44*TC!$C$3</f>
        <v>658.21211200000005</v>
      </c>
      <c r="L26" s="148">
        <f t="shared" ref="L26:L27" si="6">+K26*J26</f>
        <v>1974.636336</v>
      </c>
      <c r="M26" s="707">
        <v>3</v>
      </c>
      <c r="N26" s="146">
        <v>500.87</v>
      </c>
      <c r="O26" s="148">
        <f>+N26*M26</f>
        <v>1502.6100000000001</v>
      </c>
      <c r="P26" s="149"/>
    </row>
    <row r="27" spans="1:17" s="150" customFormat="1" ht="13.5" thickBot="1" x14ac:dyDescent="0.25">
      <c r="A27" s="702"/>
      <c r="B27" s="723">
        <v>3</v>
      </c>
      <c r="C27" s="724">
        <v>43</v>
      </c>
      <c r="D27" s="707">
        <v>3</v>
      </c>
      <c r="E27" s="734">
        <f>17.53*TC!$C$3</f>
        <v>625.72984400000007</v>
      </c>
      <c r="F27" s="706">
        <f t="shared" si="4"/>
        <v>1877.1895320000003</v>
      </c>
      <c r="G27" s="714">
        <v>3</v>
      </c>
      <c r="H27" s="715">
        <v>568.58000000000004</v>
      </c>
      <c r="I27" s="716">
        <f t="shared" si="5"/>
        <v>1705.7400000000002</v>
      </c>
      <c r="J27" s="714">
        <v>3</v>
      </c>
      <c r="K27" s="734">
        <f>18.44*TC!$C$3</f>
        <v>658.21211200000005</v>
      </c>
      <c r="L27" s="148">
        <f t="shared" si="6"/>
        <v>1974.636336</v>
      </c>
      <c r="M27" s="707">
        <v>3</v>
      </c>
      <c r="N27" s="734">
        <v>500.87</v>
      </c>
      <c r="O27" s="148">
        <f>+N27*M27</f>
        <v>1502.6100000000001</v>
      </c>
      <c r="P27" s="149"/>
    </row>
    <row r="28" spans="1:17" x14ac:dyDescent="0.2">
      <c r="A28" s="1138" t="s">
        <v>4</v>
      </c>
      <c r="B28" s="1139"/>
      <c r="C28" s="1157"/>
      <c r="D28" s="634"/>
      <c r="E28" s="1158">
        <f>SUM(F6:F27)</f>
        <v>29737.337880000003</v>
      </c>
      <c r="F28" s="1159"/>
      <c r="G28" s="694"/>
      <c r="H28" s="1158">
        <f>SUM(I6:I27)</f>
        <v>27905.750000000011</v>
      </c>
      <c r="I28" s="1159"/>
      <c r="J28" s="694"/>
      <c r="K28" s="1158">
        <f>SUM(L6:L27)</f>
        <v>44173.028896000018</v>
      </c>
      <c r="L28" s="1159"/>
      <c r="M28" s="694"/>
      <c r="N28" s="1158">
        <f>SUM(O6:O27)</f>
        <v>12555.730000000001</v>
      </c>
      <c r="O28" s="1160"/>
    </row>
    <row r="29" spans="1:17" x14ac:dyDescent="0.2">
      <c r="A29" s="1149" t="s">
        <v>5</v>
      </c>
      <c r="B29" s="1150"/>
      <c r="C29" s="1172"/>
      <c r="D29" s="635"/>
      <c r="E29" s="1173">
        <v>0</v>
      </c>
      <c r="F29" s="1174"/>
      <c r="G29" s="695"/>
      <c r="H29" s="1173">
        <v>0</v>
      </c>
      <c r="I29" s="1174"/>
      <c r="J29" s="695"/>
      <c r="K29" s="1173">
        <v>0</v>
      </c>
      <c r="L29" s="1174"/>
      <c r="M29" s="695"/>
      <c r="N29" s="1173">
        <v>0</v>
      </c>
      <c r="O29" s="1175"/>
    </row>
    <row r="30" spans="1:17" x14ac:dyDescent="0.2">
      <c r="A30" s="1224" t="s">
        <v>2</v>
      </c>
      <c r="B30" s="1225"/>
      <c r="C30" s="1226"/>
      <c r="D30" s="696"/>
      <c r="E30" s="1173">
        <f>(E28-E29)*15%</f>
        <v>4460.6006820000002</v>
      </c>
      <c r="F30" s="1174"/>
      <c r="G30" s="696"/>
      <c r="H30" s="1173">
        <f>(H28-H29)*15%</f>
        <v>4185.8625000000011</v>
      </c>
      <c r="I30" s="1174"/>
      <c r="J30" s="696"/>
      <c r="K30" s="1173">
        <f>(K28-K29)*15%</f>
        <v>6625.9543344000022</v>
      </c>
      <c r="L30" s="1174"/>
      <c r="M30" s="696"/>
      <c r="N30" s="1173">
        <f>(N28-N29)*15%</f>
        <v>1883.3595</v>
      </c>
      <c r="O30" s="1175"/>
    </row>
    <row r="31" spans="1:17" ht="13.5" thickBot="1" x14ac:dyDescent="0.25">
      <c r="A31" s="1232" t="s">
        <v>3</v>
      </c>
      <c r="B31" s="1233"/>
      <c r="C31" s="1234"/>
      <c r="D31" s="697"/>
      <c r="E31" s="1230">
        <f>(E28-E29)+E30</f>
        <v>34197.938562000003</v>
      </c>
      <c r="F31" s="1235"/>
      <c r="G31" s="697"/>
      <c r="H31" s="1230">
        <f>(H28-H29)+H30</f>
        <v>32091.61250000001</v>
      </c>
      <c r="I31" s="1235"/>
      <c r="J31" s="697"/>
      <c r="K31" s="1230">
        <f>(K28-K29)+K30</f>
        <v>50798.983230400023</v>
      </c>
      <c r="L31" s="1235"/>
      <c r="M31" s="697"/>
      <c r="N31" s="1230">
        <f>(N28-N29)+N30</f>
        <v>14439.089500000002</v>
      </c>
      <c r="O31" s="1231"/>
    </row>
    <row r="33" spans="1:15" s="143" customFormat="1" x14ac:dyDescent="0.2">
      <c r="A33" s="142"/>
      <c r="B33" s="142"/>
      <c r="C33" s="142"/>
      <c r="D33" s="142"/>
      <c r="E33" s="142"/>
      <c r="F33" s="155"/>
      <c r="G33" s="142"/>
      <c r="H33" s="142"/>
      <c r="I33" s="155"/>
      <c r="J33" s="142"/>
      <c r="K33" s="142"/>
      <c r="L33" s="155"/>
      <c r="M33" s="142"/>
      <c r="N33" s="142"/>
      <c r="O33" s="155"/>
    </row>
  </sheetData>
  <mergeCells count="26">
    <mergeCell ref="A3:O3"/>
    <mergeCell ref="A4:A5"/>
    <mergeCell ref="D4:F4"/>
    <mergeCell ref="G4:I4"/>
    <mergeCell ref="J4:L4"/>
    <mergeCell ref="M4:O4"/>
    <mergeCell ref="A29:C29"/>
    <mergeCell ref="E29:F29"/>
    <mergeCell ref="H29:I29"/>
    <mergeCell ref="K29:L29"/>
    <mergeCell ref="N29:O29"/>
    <mergeCell ref="A28:C28"/>
    <mergeCell ref="E28:F28"/>
    <mergeCell ref="H28:I28"/>
    <mergeCell ref="K28:L28"/>
    <mergeCell ref="N28:O28"/>
    <mergeCell ref="A31:C31"/>
    <mergeCell ref="E31:F31"/>
    <mergeCell ref="H31:I31"/>
    <mergeCell ref="K31:L31"/>
    <mergeCell ref="N31:O31"/>
    <mergeCell ref="A30:C30"/>
    <mergeCell ref="E30:F30"/>
    <mergeCell ref="H30:I30"/>
    <mergeCell ref="K30:L30"/>
    <mergeCell ref="N30:O30"/>
  </mergeCells>
  <conditionalFormatting sqref="O6:O10 I7:I10 L6:L10 F6:F10 F12:F18 I12:I18 F20:F22 O20:O22 L20:L22 I20:I22 O12:O17 L12:L18">
    <cfRule type="expression" dxfId="235" priority="4">
      <formula>E6=MIN($E6,$H6,$K6,$N6)</formula>
    </cfRule>
  </conditionalFormatting>
  <conditionalFormatting sqref="O24:O27 I24:I27 L24:L27 F24:F27">
    <cfRule type="expression" dxfId="234" priority="3">
      <formula>E24=MIN($E24,$H24,$K24,$N24)</formula>
    </cfRule>
  </conditionalFormatting>
  <conditionalFormatting sqref="O18">
    <cfRule type="expression" dxfId="233" priority="1">
      <formula>N18=MIN($E18,$H18,$K18,$N18)</formula>
    </cfRule>
  </conditionalFormatting>
  <pageMargins left="0.25" right="0.25" top="0.75" bottom="0.75" header="0.3" footer="0.3"/>
  <pageSetup orientation="landscape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8B090-4B5F-43BD-B2CB-82FE6E94BE9E}">
  <sheetPr codeName="Hoja82"/>
  <dimension ref="B2:I12"/>
  <sheetViews>
    <sheetView showGridLines="0" workbookViewId="0">
      <selection activeCell="D6" sqref="D6"/>
    </sheetView>
  </sheetViews>
  <sheetFormatPr baseColWidth="10" defaultColWidth="6.85546875" defaultRowHeight="17.25" x14ac:dyDescent="0.3"/>
  <cols>
    <col min="1" max="1" width="6.85546875" style="1"/>
    <col min="2" max="2" width="3.42578125" style="1" bestFit="1" customWidth="1"/>
    <col min="3" max="3" width="6.7109375" style="1" bestFit="1" customWidth="1"/>
    <col min="4" max="4" width="19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6.85546875" style="5"/>
    <col min="10" max="16384" width="6.85546875" style="1"/>
  </cols>
  <sheetData>
    <row r="2" spans="2:9" ht="18" thickBot="1" x14ac:dyDescent="0.35"/>
    <row r="3" spans="2:9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4"/>
      <c r="I3" s="6"/>
    </row>
    <row r="4" spans="2:9" s="2" customFormat="1" ht="18" thickBot="1" x14ac:dyDescent="0.3">
      <c r="B4" s="1215" t="s">
        <v>6</v>
      </c>
      <c r="C4" s="29" t="s">
        <v>17</v>
      </c>
      <c r="D4" s="30" t="s">
        <v>512</v>
      </c>
      <c r="E4" s="1252" t="s">
        <v>91</v>
      </c>
      <c r="F4" s="1251"/>
      <c r="G4" s="1248" t="s">
        <v>234</v>
      </c>
      <c r="H4" s="1251"/>
      <c r="I4" s="6"/>
    </row>
    <row r="5" spans="2:9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701" t="s">
        <v>10</v>
      </c>
      <c r="G5" s="31" t="s">
        <v>14</v>
      </c>
      <c r="H5" s="32" t="s">
        <v>10</v>
      </c>
      <c r="I5" s="6"/>
    </row>
    <row r="6" spans="2:9" s="3" customFormat="1" ht="18" thickBot="1" x14ac:dyDescent="0.35">
      <c r="B6" s="19">
        <v>1</v>
      </c>
      <c r="C6" s="16">
        <v>2</v>
      </c>
      <c r="D6" s="9" t="s">
        <v>90</v>
      </c>
      <c r="E6" s="24">
        <v>9000</v>
      </c>
      <c r="F6" s="23">
        <f>+E6*C6</f>
        <v>18000</v>
      </c>
      <c r="G6" s="24">
        <v>9500</v>
      </c>
      <c r="H6" s="27">
        <f>+G6*C6</f>
        <v>19000</v>
      </c>
      <c r="I6" s="7"/>
    </row>
    <row r="7" spans="2:9" x14ac:dyDescent="0.3">
      <c r="B7" s="1217" t="s">
        <v>4</v>
      </c>
      <c r="C7" s="1218"/>
      <c r="D7" s="1219"/>
      <c r="E7" s="1245">
        <f>SUM(F6:F6)</f>
        <v>18000</v>
      </c>
      <c r="F7" s="1246"/>
      <c r="G7" s="1245">
        <f>SUM(H6:H6)</f>
        <v>19000</v>
      </c>
      <c r="H7" s="1247"/>
    </row>
    <row r="8" spans="2:9" x14ac:dyDescent="0.3">
      <c r="B8" s="1205" t="s">
        <v>5</v>
      </c>
      <c r="C8" s="1206"/>
      <c r="D8" s="1207"/>
      <c r="E8" s="1242">
        <v>0</v>
      </c>
      <c r="F8" s="1243"/>
      <c r="G8" s="1242">
        <v>0</v>
      </c>
      <c r="H8" s="1244"/>
    </row>
    <row r="9" spans="2:9" x14ac:dyDescent="0.3">
      <c r="B9" s="1208" t="s">
        <v>2</v>
      </c>
      <c r="C9" s="1209"/>
      <c r="D9" s="1210"/>
      <c r="E9" s="1242">
        <v>0</v>
      </c>
      <c r="F9" s="1243"/>
      <c r="G9" s="1242">
        <v>0</v>
      </c>
      <c r="H9" s="1244"/>
    </row>
    <row r="10" spans="2:9" ht="18" thickBot="1" x14ac:dyDescent="0.35">
      <c r="B10" s="1202" t="s">
        <v>3</v>
      </c>
      <c r="C10" s="1203"/>
      <c r="D10" s="1204"/>
      <c r="E10" s="1253">
        <f>(E7-E8)+E9</f>
        <v>18000</v>
      </c>
      <c r="F10" s="1254"/>
      <c r="G10" s="1253">
        <f>(G7-G8)+G9</f>
        <v>19000</v>
      </c>
      <c r="H10" s="1255"/>
    </row>
    <row r="12" spans="2:9" x14ac:dyDescent="0.3">
      <c r="F12" s="4"/>
      <c r="G12" s="4"/>
      <c r="H12" s="4"/>
    </row>
  </sheetData>
  <mergeCells count="16"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3:H3"/>
    <mergeCell ref="B4:B5"/>
    <mergeCell ref="E4:F4"/>
    <mergeCell ref="G4:H4"/>
    <mergeCell ref="B7:D7"/>
    <mergeCell ref="E7:F7"/>
    <mergeCell ref="G7:H7"/>
  </mergeCells>
  <conditionalFormatting sqref="F6 H6">
    <cfRule type="expression" dxfId="232" priority="1">
      <formula>E6=""</formula>
    </cfRule>
    <cfRule type="expression" dxfId="231" priority="2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771F-23A8-4CA0-BC2B-DFBCAED9A6F2}">
  <sheetPr codeName="Hoja83"/>
  <dimension ref="B2:I12"/>
  <sheetViews>
    <sheetView showGridLines="0" workbookViewId="0">
      <selection activeCell="B3" sqref="B3:H3"/>
    </sheetView>
  </sheetViews>
  <sheetFormatPr baseColWidth="10" defaultColWidth="6.85546875" defaultRowHeight="17.25" x14ac:dyDescent="0.25"/>
  <cols>
    <col min="1" max="1" width="6.85546875" style="2"/>
    <col min="2" max="2" width="3.42578125" style="2" bestFit="1" customWidth="1"/>
    <col min="3" max="3" width="6.7109375" style="2" bestFit="1" customWidth="1"/>
    <col min="4" max="4" width="19" style="2" bestFit="1" customWidth="1"/>
    <col min="5" max="8" width="15.42578125" style="2" bestFit="1" customWidth="1"/>
    <col min="9" max="9" width="6.85546875" style="6"/>
    <col min="10" max="16384" width="6.85546875" style="2"/>
  </cols>
  <sheetData>
    <row r="2" spans="2:9" ht="18" thickBot="1" x14ac:dyDescent="0.3"/>
    <row r="3" spans="2:9" ht="18" thickBot="1" x14ac:dyDescent="0.3">
      <c r="B3" s="1248" t="s">
        <v>1</v>
      </c>
      <c r="C3" s="1249"/>
      <c r="D3" s="1249"/>
      <c r="E3" s="1250"/>
      <c r="F3" s="1250"/>
      <c r="G3" s="1250"/>
      <c r="H3" s="1251"/>
    </row>
    <row r="4" spans="2:9" ht="18" thickBot="1" x14ac:dyDescent="0.3">
      <c r="B4" s="1215" t="s">
        <v>6</v>
      </c>
      <c r="C4" s="29" t="s">
        <v>17</v>
      </c>
      <c r="D4" s="30" t="s">
        <v>513</v>
      </c>
      <c r="E4" s="1252" t="s">
        <v>227</v>
      </c>
      <c r="F4" s="1251"/>
      <c r="G4" s="1248" t="s">
        <v>228</v>
      </c>
      <c r="H4" s="1251"/>
    </row>
    <row r="5" spans="2:9" ht="18" thickBot="1" x14ac:dyDescent="0.3">
      <c r="B5" s="1216"/>
      <c r="C5" s="33" t="s">
        <v>11</v>
      </c>
      <c r="D5" s="21" t="s">
        <v>0</v>
      </c>
      <c r="E5" s="31" t="s">
        <v>14</v>
      </c>
      <c r="F5" s="701" t="s">
        <v>10</v>
      </c>
      <c r="G5" s="31" t="s">
        <v>14</v>
      </c>
      <c r="H5" s="32" t="s">
        <v>10</v>
      </c>
    </row>
    <row r="6" spans="2:9" s="157" customFormat="1" ht="35.25" thickBot="1" x14ac:dyDescent="0.3">
      <c r="B6" s="19">
        <v>1</v>
      </c>
      <c r="C6" s="158">
        <v>2</v>
      </c>
      <c r="D6" s="159" t="s">
        <v>514</v>
      </c>
      <c r="E6" s="160">
        <f>400*TC!C3</f>
        <v>14277.92</v>
      </c>
      <c r="F6" s="161">
        <f>+E6*C6</f>
        <v>28555.84</v>
      </c>
      <c r="G6" s="160">
        <f>416.86*TC!C3</f>
        <v>14879.734328</v>
      </c>
      <c r="H6" s="162">
        <f>+G6*C6</f>
        <v>29759.468656000001</v>
      </c>
      <c r="I6" s="163"/>
    </row>
    <row r="7" spans="2:9" x14ac:dyDescent="0.25">
      <c r="B7" s="1217" t="s">
        <v>4</v>
      </c>
      <c r="C7" s="1218"/>
      <c r="D7" s="1219"/>
      <c r="E7" s="1245">
        <f>SUM(F6:F6)</f>
        <v>28555.84</v>
      </c>
      <c r="F7" s="1246"/>
      <c r="G7" s="1245">
        <f>SUM(H6:H6)</f>
        <v>29759.468656000001</v>
      </c>
      <c r="H7" s="1247"/>
    </row>
    <row r="8" spans="2:9" x14ac:dyDescent="0.25">
      <c r="B8" s="1205" t="s">
        <v>5</v>
      </c>
      <c r="C8" s="1206"/>
      <c r="D8" s="1207"/>
      <c r="E8" s="1242">
        <f>40*TC!C3</f>
        <v>1427.7919999999999</v>
      </c>
      <c r="F8" s="1243"/>
      <c r="G8" s="1242">
        <v>0</v>
      </c>
      <c r="H8" s="1244"/>
    </row>
    <row r="9" spans="2:9" x14ac:dyDescent="0.25">
      <c r="B9" s="1205" t="s">
        <v>2</v>
      </c>
      <c r="C9" s="1206"/>
      <c r="D9" s="1207"/>
      <c r="E9" s="1242">
        <f>(E7-E8)*0.15</f>
        <v>4069.2071999999998</v>
      </c>
      <c r="F9" s="1243"/>
      <c r="G9" s="1242">
        <f>+G7*0.15</f>
        <v>4463.9202984000003</v>
      </c>
      <c r="H9" s="1244"/>
    </row>
    <row r="10" spans="2:9" ht="18" thickBot="1" x14ac:dyDescent="0.3">
      <c r="B10" s="1236" t="s">
        <v>3</v>
      </c>
      <c r="C10" s="1237"/>
      <c r="D10" s="1238"/>
      <c r="E10" s="1239">
        <f>(E7-E8)+E9</f>
        <v>31197.2552</v>
      </c>
      <c r="F10" s="1240"/>
      <c r="G10" s="1239">
        <f>(G7-G8)+G9</f>
        <v>34223.388954399998</v>
      </c>
      <c r="H10" s="1241"/>
    </row>
    <row r="12" spans="2:9" x14ac:dyDescent="0.25">
      <c r="F12" s="164"/>
      <c r="G12" s="164"/>
      <c r="H12" s="164"/>
    </row>
  </sheetData>
  <mergeCells count="16">
    <mergeCell ref="B10:D10"/>
    <mergeCell ref="E10:F10"/>
    <mergeCell ref="G10:H10"/>
    <mergeCell ref="B8:D8"/>
    <mergeCell ref="E8:F8"/>
    <mergeCell ref="G8:H8"/>
    <mergeCell ref="B9:D9"/>
    <mergeCell ref="E9:F9"/>
    <mergeCell ref="G9:H9"/>
    <mergeCell ref="B3:H3"/>
    <mergeCell ref="B4:B5"/>
    <mergeCell ref="E4:F4"/>
    <mergeCell ref="G4:H4"/>
    <mergeCell ref="B7:D7"/>
    <mergeCell ref="E7:F7"/>
    <mergeCell ref="G7:H7"/>
  </mergeCells>
  <conditionalFormatting sqref="F6 H6">
    <cfRule type="expression" dxfId="230" priority="1">
      <formula>E6=""</formula>
    </cfRule>
    <cfRule type="expression" dxfId="229" priority="2">
      <formula>E6=MIN($E6,$G6,#REF!)</formula>
    </cfRule>
  </conditionalFormatting>
  <pageMargins left="0.25" right="0.25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3C2482-0682-45A9-B8ED-C1C4CF3508B0}">
  <sheetPr codeName="Hoja84"/>
  <dimension ref="B2:K12"/>
  <sheetViews>
    <sheetView showGridLines="0" workbookViewId="0">
      <selection activeCell="E4" sqref="E4:F4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7109375" style="34" bestFit="1" customWidth="1"/>
    <col min="4" max="4" width="16.7109375" style="34" bestFit="1" customWidth="1"/>
    <col min="5" max="5" width="10" style="34" bestFit="1" customWidth="1"/>
    <col min="6" max="6" width="12.85546875" style="34" bestFit="1" customWidth="1"/>
    <col min="7" max="7" width="10" style="34" bestFit="1" customWidth="1"/>
    <col min="8" max="8" width="12.85546875" style="34" bestFit="1" customWidth="1"/>
    <col min="9" max="9" width="11.140625" style="34" bestFit="1" customWidth="1"/>
    <col min="10" max="10" width="12.85546875" style="34" bestFit="1" customWidth="1"/>
    <col min="11" max="11" width="13.42578125" style="35" bestFit="1" customWidth="1"/>
    <col min="12" max="12" width="13.42578125" style="34" bestFit="1" customWidth="1"/>
    <col min="13" max="16384" width="11.42578125" style="34"/>
  </cols>
  <sheetData>
    <row r="2" spans="2:11" ht="16.5" thickBot="1" x14ac:dyDescent="0.3"/>
    <row r="3" spans="2:11" ht="16.5" thickBot="1" x14ac:dyDescent="0.3">
      <c r="B3" s="1100" t="s">
        <v>1</v>
      </c>
      <c r="C3" s="1350"/>
      <c r="D3" s="1350"/>
      <c r="E3" s="1101"/>
      <c r="F3" s="1101"/>
      <c r="G3" s="1101"/>
      <c r="H3" s="1101"/>
      <c r="I3" s="1101"/>
      <c r="J3" s="1102"/>
    </row>
    <row r="4" spans="2:11" ht="16.5" thickBot="1" x14ac:dyDescent="0.3">
      <c r="B4" s="1182" t="s">
        <v>6</v>
      </c>
      <c r="C4" s="110" t="s">
        <v>17</v>
      </c>
      <c r="D4" s="111" t="s">
        <v>515</v>
      </c>
      <c r="E4" s="1184" t="s">
        <v>435</v>
      </c>
      <c r="F4" s="1102"/>
      <c r="G4" s="1100" t="s">
        <v>438</v>
      </c>
      <c r="H4" s="1102"/>
      <c r="I4" s="1507" t="s">
        <v>436</v>
      </c>
      <c r="J4" s="1508"/>
    </row>
    <row r="5" spans="2:11" ht="16.5" thickBot="1" x14ac:dyDescent="0.3">
      <c r="B5" s="1183"/>
      <c r="C5" s="112" t="s">
        <v>11</v>
      </c>
      <c r="D5" s="113" t="s">
        <v>0</v>
      </c>
      <c r="E5" s="114" t="s">
        <v>14</v>
      </c>
      <c r="F5" s="738" t="s">
        <v>10</v>
      </c>
      <c r="G5" s="114" t="s">
        <v>14</v>
      </c>
      <c r="H5" s="738" t="s">
        <v>10</v>
      </c>
      <c r="I5" s="114" t="s">
        <v>14</v>
      </c>
      <c r="J5" s="116" t="s">
        <v>10</v>
      </c>
    </row>
    <row r="6" spans="2:11" s="346" customFormat="1" ht="63.75" thickBot="1" x14ac:dyDescent="0.3">
      <c r="B6" s="125">
        <v>1</v>
      </c>
      <c r="C6" s="347">
        <v>50</v>
      </c>
      <c r="D6" s="589" t="s">
        <v>516</v>
      </c>
      <c r="E6" s="590">
        <f>2900/C6</f>
        <v>58</v>
      </c>
      <c r="F6" s="569">
        <f t="shared" ref="F6" si="0">+E6*$C6</f>
        <v>2900</v>
      </c>
      <c r="G6" s="590">
        <v>78</v>
      </c>
      <c r="H6" s="569">
        <f t="shared" ref="H6" si="1">+G6*$C6</f>
        <v>3900</v>
      </c>
      <c r="I6" s="590">
        <v>108</v>
      </c>
      <c r="J6" s="343">
        <f t="shared" ref="J6" si="2">+I6*$C6</f>
        <v>5400</v>
      </c>
      <c r="K6" s="345"/>
    </row>
    <row r="7" spans="2:11" x14ac:dyDescent="0.25">
      <c r="B7" s="1094" t="s">
        <v>4</v>
      </c>
      <c r="C7" s="1095"/>
      <c r="D7" s="1185"/>
      <c r="E7" s="1186">
        <f>SUM(F6:F6)</f>
        <v>2900</v>
      </c>
      <c r="F7" s="1187"/>
      <c r="G7" s="1186">
        <f>SUM(H6:H6)</f>
        <v>3900</v>
      </c>
      <c r="H7" s="1187"/>
      <c r="I7" s="1186">
        <f>SUM(J6:J6)</f>
        <v>5400</v>
      </c>
      <c r="J7" s="1188"/>
    </row>
    <row r="8" spans="2:11" x14ac:dyDescent="0.25">
      <c r="B8" s="1096" t="s">
        <v>5</v>
      </c>
      <c r="C8" s="1097"/>
      <c r="D8" s="1195"/>
      <c r="E8" s="1176">
        <v>0</v>
      </c>
      <c r="F8" s="1196"/>
      <c r="G8" s="1176">
        <v>0</v>
      </c>
      <c r="H8" s="1196"/>
      <c r="I8" s="1176">
        <v>0</v>
      </c>
      <c r="J8" s="1177"/>
    </row>
    <row r="9" spans="2:11" x14ac:dyDescent="0.25">
      <c r="B9" s="1096" t="s">
        <v>2</v>
      </c>
      <c r="C9" s="1097"/>
      <c r="D9" s="1195"/>
      <c r="E9" s="1176">
        <f>(E7-E8)*15%</f>
        <v>435</v>
      </c>
      <c r="F9" s="1196"/>
      <c r="G9" s="1176">
        <f>(G7-G8)*15%</f>
        <v>585</v>
      </c>
      <c r="H9" s="1196"/>
      <c r="I9" s="1176">
        <f>(I7-I8)*15%</f>
        <v>810</v>
      </c>
      <c r="J9" s="1177"/>
    </row>
    <row r="10" spans="2:11" ht="16.5" thickBot="1" x14ac:dyDescent="0.3">
      <c r="B10" s="1098" t="s">
        <v>3</v>
      </c>
      <c r="C10" s="1099"/>
      <c r="D10" s="1454"/>
      <c r="E10" s="1457">
        <f>(E7-E8)+E9</f>
        <v>3335</v>
      </c>
      <c r="F10" s="1458"/>
      <c r="G10" s="1457">
        <f>(G7-G8)+G9</f>
        <v>4485</v>
      </c>
      <c r="H10" s="1458"/>
      <c r="I10" s="1457">
        <f>(I7-I8)+I9</f>
        <v>6210</v>
      </c>
      <c r="J10" s="1346"/>
    </row>
    <row r="12" spans="2:11" x14ac:dyDescent="0.25">
      <c r="F12" s="40"/>
      <c r="G12" s="40"/>
      <c r="H12" s="40"/>
      <c r="J12" s="40"/>
    </row>
  </sheetData>
  <mergeCells count="21">
    <mergeCell ref="B3:J3"/>
    <mergeCell ref="B4:B5"/>
    <mergeCell ref="E4:F4"/>
    <mergeCell ref="G4:H4"/>
    <mergeCell ref="I4:J4"/>
    <mergeCell ref="I8:J8"/>
    <mergeCell ref="I7:J7"/>
    <mergeCell ref="I10:J10"/>
    <mergeCell ref="I9:J9"/>
    <mergeCell ref="B9:D9"/>
    <mergeCell ref="E9:F9"/>
    <mergeCell ref="G9:H9"/>
    <mergeCell ref="B10:D10"/>
    <mergeCell ref="E10:F10"/>
    <mergeCell ref="G10:H10"/>
    <mergeCell ref="B7:D7"/>
    <mergeCell ref="E7:F7"/>
    <mergeCell ref="G7:H7"/>
    <mergeCell ref="B8:D8"/>
    <mergeCell ref="E8:F8"/>
    <mergeCell ref="G8:H8"/>
  </mergeCells>
  <conditionalFormatting sqref="F6 H6 J6">
    <cfRule type="expression" dxfId="228" priority="202">
      <formula>E6=""</formula>
    </cfRule>
    <cfRule type="expression" dxfId="227" priority="203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FA485-2C4D-4295-A881-DDC2D4BFDE45}">
  <sheetPr codeName="Hoja85"/>
  <dimension ref="B2:K12"/>
  <sheetViews>
    <sheetView showGridLines="0" workbookViewId="0">
      <selection activeCell="D6" sqref="D6"/>
    </sheetView>
  </sheetViews>
  <sheetFormatPr baseColWidth="10" defaultRowHeight="15" x14ac:dyDescent="0.25"/>
  <cols>
    <col min="1" max="1" width="2.7109375" style="367" bestFit="1" customWidth="1"/>
    <col min="2" max="2" width="2.5703125" style="367" bestFit="1" customWidth="1"/>
    <col min="3" max="3" width="5.85546875" style="367" bestFit="1" customWidth="1"/>
    <col min="4" max="4" width="17.42578125" style="367" bestFit="1" customWidth="1"/>
    <col min="5" max="10" width="11.7109375" style="367" bestFit="1" customWidth="1"/>
    <col min="11" max="11" width="13.42578125" style="366" bestFit="1" customWidth="1"/>
    <col min="12" max="12" width="13.42578125" style="367" bestFit="1" customWidth="1"/>
    <col min="13" max="16384" width="11.42578125" style="367"/>
  </cols>
  <sheetData>
    <row r="2" spans="2:11" ht="15.75" thickBot="1" x14ac:dyDescent="0.3"/>
    <row r="3" spans="2:11" s="53" customFormat="1" ht="15.75" thickBot="1" x14ac:dyDescent="0.3">
      <c r="B3" s="1359" t="s">
        <v>1</v>
      </c>
      <c r="C3" s="1360"/>
      <c r="D3" s="1360"/>
      <c r="E3" s="1361"/>
      <c r="F3" s="1361"/>
      <c r="G3" s="1361"/>
      <c r="H3" s="1361"/>
      <c r="I3" s="1361"/>
      <c r="J3" s="1362"/>
      <c r="K3" s="54"/>
    </row>
    <row r="4" spans="2:11" s="53" customFormat="1" ht="15.75" thickBot="1" x14ac:dyDescent="0.3">
      <c r="B4" s="1129" t="s">
        <v>6</v>
      </c>
      <c r="C4" s="55" t="s">
        <v>17</v>
      </c>
      <c r="D4" s="56" t="s">
        <v>517</v>
      </c>
      <c r="E4" s="1131" t="s">
        <v>336</v>
      </c>
      <c r="F4" s="1116"/>
      <c r="G4" s="1115" t="s">
        <v>67</v>
      </c>
      <c r="H4" s="1116"/>
      <c r="I4" s="1115" t="s">
        <v>66</v>
      </c>
      <c r="J4" s="1116"/>
      <c r="K4" s="54"/>
    </row>
    <row r="5" spans="2:11" s="53" customFormat="1" ht="15.75" thickBot="1" x14ac:dyDescent="0.3">
      <c r="B5" s="1130"/>
      <c r="C5" s="57" t="s">
        <v>11</v>
      </c>
      <c r="D5" s="58" t="s">
        <v>0</v>
      </c>
      <c r="E5" s="59" t="s">
        <v>14</v>
      </c>
      <c r="F5" s="737" t="s">
        <v>10</v>
      </c>
      <c r="G5" s="59" t="s">
        <v>14</v>
      </c>
      <c r="H5" s="737" t="s">
        <v>10</v>
      </c>
      <c r="I5" s="59" t="s">
        <v>14</v>
      </c>
      <c r="J5" s="61" t="s">
        <v>10</v>
      </c>
      <c r="K5" s="54"/>
    </row>
    <row r="6" spans="2:11" s="362" customFormat="1" ht="15.75" thickBot="1" x14ac:dyDescent="0.3">
      <c r="B6" s="62">
        <v>1</v>
      </c>
      <c r="C6" s="356">
        <v>2</v>
      </c>
      <c r="D6" s="357" t="s">
        <v>335</v>
      </c>
      <c r="E6" s="358">
        <f>3667.8/2</f>
        <v>1833.9</v>
      </c>
      <c r="F6" s="359">
        <f>+E6*$C6</f>
        <v>3667.8</v>
      </c>
      <c r="G6" s="358">
        <f>3795.49/C6</f>
        <v>1897.7449999999999</v>
      </c>
      <c r="H6" s="359">
        <f>+G6*$C6</f>
        <v>3795.49</v>
      </c>
      <c r="I6" s="358">
        <v>3325</v>
      </c>
      <c r="J6" s="360">
        <f>+I6*$C6</f>
        <v>6650</v>
      </c>
      <c r="K6" s="361"/>
    </row>
    <row r="7" spans="2:11" x14ac:dyDescent="0.25">
      <c r="B7" s="1132" t="s">
        <v>4</v>
      </c>
      <c r="C7" s="1133"/>
      <c r="D7" s="1134"/>
      <c r="E7" s="1117">
        <f>SUM(F6:F6)</f>
        <v>3667.8</v>
      </c>
      <c r="F7" s="1118"/>
      <c r="G7" s="1117">
        <f>SUM(H6:H6)</f>
        <v>3795.49</v>
      </c>
      <c r="H7" s="1118"/>
      <c r="I7" s="1117">
        <f>SUM(J6:J6)</f>
        <v>6650</v>
      </c>
      <c r="J7" s="1135"/>
    </row>
    <row r="8" spans="2:11" x14ac:dyDescent="0.25">
      <c r="B8" s="1123" t="s">
        <v>5</v>
      </c>
      <c r="C8" s="1124"/>
      <c r="D8" s="1125"/>
      <c r="E8" s="1270">
        <v>0.15</v>
      </c>
      <c r="F8" s="1271"/>
      <c r="G8" s="1119">
        <v>0</v>
      </c>
      <c r="H8" s="1120"/>
      <c r="I8" s="1119">
        <v>0</v>
      </c>
      <c r="J8" s="1126"/>
    </row>
    <row r="9" spans="2:11" x14ac:dyDescent="0.25">
      <c r="B9" s="1369" t="s">
        <v>2</v>
      </c>
      <c r="C9" s="1370"/>
      <c r="D9" s="1371"/>
      <c r="E9" s="1119">
        <f>(E7)*15%</f>
        <v>550.16999999999996</v>
      </c>
      <c r="F9" s="1120"/>
      <c r="G9" s="1119">
        <f>(G7-G8)*15%</f>
        <v>569.32349999999997</v>
      </c>
      <c r="H9" s="1120"/>
      <c r="I9" s="1119">
        <v>0</v>
      </c>
      <c r="J9" s="1126"/>
    </row>
    <row r="10" spans="2:11" ht="15.75" thickBot="1" x14ac:dyDescent="0.3">
      <c r="B10" s="1363" t="s">
        <v>3</v>
      </c>
      <c r="C10" s="1364"/>
      <c r="D10" s="1365"/>
      <c r="E10" s="1366">
        <f>(E7)+E9</f>
        <v>4217.97</v>
      </c>
      <c r="F10" s="1367"/>
      <c r="G10" s="1366">
        <f>(G7-G8)+G9</f>
        <v>4364.8135000000002</v>
      </c>
      <c r="H10" s="1367"/>
      <c r="I10" s="1366">
        <f>(I7-I8)+I9</f>
        <v>6650</v>
      </c>
      <c r="J10" s="1368"/>
    </row>
    <row r="12" spans="2:11" x14ac:dyDescent="0.25">
      <c r="F12" s="368"/>
      <c r="G12" s="368"/>
      <c r="H12" s="368"/>
      <c r="J12" s="368"/>
    </row>
  </sheetData>
  <mergeCells count="21">
    <mergeCell ref="B7:D7"/>
    <mergeCell ref="E7:F7"/>
    <mergeCell ref="G7:H7"/>
    <mergeCell ref="I7:J7"/>
    <mergeCell ref="B3:J3"/>
    <mergeCell ref="B4:B5"/>
    <mergeCell ref="E4:F4"/>
    <mergeCell ref="G4:H4"/>
    <mergeCell ref="I4:J4"/>
    <mergeCell ref="B10:D10"/>
    <mergeCell ref="E10:F10"/>
    <mergeCell ref="G10:H10"/>
    <mergeCell ref="I10:J10"/>
    <mergeCell ref="B8:D8"/>
    <mergeCell ref="E8:F8"/>
    <mergeCell ref="G8:H8"/>
    <mergeCell ref="I8:J8"/>
    <mergeCell ref="B9:D9"/>
    <mergeCell ref="E9:F9"/>
    <mergeCell ref="G9:H9"/>
    <mergeCell ref="I9:J9"/>
  </mergeCells>
  <conditionalFormatting sqref="F6 H6 J6">
    <cfRule type="expression" dxfId="226" priority="1">
      <formula>E6=""</formula>
    </cfRule>
    <cfRule type="expression" dxfId="225" priority="2">
      <formula>E6=MIN($E6,$G6,$I6)</formula>
    </cfRule>
  </conditionalFormatting>
  <pageMargins left="0.25" right="0.25" top="0.75" bottom="0.75" header="0.3" footer="0.3"/>
  <pageSetup orientation="portrait" r:id="rId1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2987E-3A92-49CD-B97E-906BD1151710}">
  <sheetPr codeName="Hoja86"/>
  <dimension ref="B1:M37"/>
  <sheetViews>
    <sheetView showGridLines="0" workbookViewId="0">
      <selection activeCell="K2" sqref="K2:L2"/>
    </sheetView>
  </sheetViews>
  <sheetFormatPr baseColWidth="10" defaultRowHeight="12.75" x14ac:dyDescent="0.25"/>
  <cols>
    <col min="1" max="1" width="2.7109375" style="73" bestFit="1" customWidth="1"/>
    <col min="2" max="2" width="3.5703125" style="73" bestFit="1" customWidth="1"/>
    <col min="3" max="3" width="5.28515625" style="73" bestFit="1" customWidth="1"/>
    <col min="4" max="4" width="24" style="73" bestFit="1" customWidth="1"/>
    <col min="5" max="12" width="11" style="73" bestFit="1" customWidth="1"/>
    <col min="13" max="13" width="13.42578125" style="74" bestFit="1" customWidth="1"/>
    <col min="14" max="14" width="13.42578125" style="73" bestFit="1" customWidth="1"/>
    <col min="15" max="16384" width="11.42578125" style="73"/>
  </cols>
  <sheetData>
    <row r="1" spans="2:13" x14ac:dyDescent="0.25">
      <c r="B1" s="1287" t="s">
        <v>1</v>
      </c>
      <c r="C1" s="1288"/>
      <c r="D1" s="1288"/>
      <c r="E1" s="1288"/>
      <c r="F1" s="1288"/>
      <c r="G1" s="1288"/>
      <c r="H1" s="1288"/>
      <c r="I1" s="1288"/>
      <c r="J1" s="1288"/>
      <c r="K1" s="1288"/>
      <c r="L1" s="1289"/>
    </row>
    <row r="2" spans="2:13" x14ac:dyDescent="0.25">
      <c r="B2" s="1290" t="s">
        <v>6</v>
      </c>
      <c r="C2" s="250" t="s">
        <v>17</v>
      </c>
      <c r="D2" s="251" t="s">
        <v>518</v>
      </c>
      <c r="E2" s="1291" t="s">
        <v>178</v>
      </c>
      <c r="F2" s="1291"/>
      <c r="G2" s="1291" t="s">
        <v>523</v>
      </c>
      <c r="H2" s="1291"/>
      <c r="I2" s="1291" t="s">
        <v>180</v>
      </c>
      <c r="J2" s="1291"/>
      <c r="K2" s="1291" t="s">
        <v>144</v>
      </c>
      <c r="L2" s="1292"/>
    </row>
    <row r="3" spans="2:13" x14ac:dyDescent="0.25">
      <c r="B3" s="1290"/>
      <c r="C3" s="252" t="s">
        <v>11</v>
      </c>
      <c r="D3" s="739" t="s">
        <v>0</v>
      </c>
      <c r="E3" s="739" t="s">
        <v>14</v>
      </c>
      <c r="F3" s="739" t="s">
        <v>10</v>
      </c>
      <c r="G3" s="739" t="s">
        <v>14</v>
      </c>
      <c r="H3" s="739" t="s">
        <v>10</v>
      </c>
      <c r="I3" s="739" t="s">
        <v>14</v>
      </c>
      <c r="J3" s="739" t="s">
        <v>10</v>
      </c>
      <c r="K3" s="739" t="s">
        <v>14</v>
      </c>
      <c r="L3" s="741" t="s">
        <v>10</v>
      </c>
    </row>
    <row r="4" spans="2:13" s="86" customFormat="1" x14ac:dyDescent="0.25">
      <c r="B4" s="740">
        <v>1</v>
      </c>
      <c r="C4" s="256">
        <v>55</v>
      </c>
      <c r="D4" s="257" t="s">
        <v>203</v>
      </c>
      <c r="E4" s="90">
        <v>129.5</v>
      </c>
      <c r="F4" s="90">
        <f>+E4*C4</f>
        <v>7122.5</v>
      </c>
      <c r="G4" s="90">
        <v>112</v>
      </c>
      <c r="H4" s="90">
        <f>+G4*C4</f>
        <v>6160</v>
      </c>
      <c r="I4" s="90">
        <v>127</v>
      </c>
      <c r="J4" s="90">
        <f>+I4*$C4</f>
        <v>6985</v>
      </c>
      <c r="K4" s="90">
        <v>147.31</v>
      </c>
      <c r="L4" s="91">
        <f>+K4*$C4</f>
        <v>8102.05</v>
      </c>
      <c r="M4" s="85"/>
    </row>
    <row r="5" spans="2:13" s="86" customFormat="1" x14ac:dyDescent="0.25">
      <c r="B5" s="740">
        <v>2</v>
      </c>
      <c r="C5" s="256">
        <v>15</v>
      </c>
      <c r="D5" s="258" t="s">
        <v>148</v>
      </c>
      <c r="E5" s="90">
        <v>198.95</v>
      </c>
      <c r="F5" s="90">
        <f t="shared" ref="F5:F8" si="0">+E5*C5</f>
        <v>2984.25</v>
      </c>
      <c r="G5" s="90">
        <v>148.69999999999999</v>
      </c>
      <c r="H5" s="90">
        <f t="shared" ref="H5:H8" si="1">+G5*C5</f>
        <v>2230.5</v>
      </c>
      <c r="I5" s="90">
        <v>149</v>
      </c>
      <c r="J5" s="90">
        <f t="shared" ref="J5:J32" si="2">+I5*$C5</f>
        <v>2235</v>
      </c>
      <c r="K5" s="90">
        <v>198.61</v>
      </c>
      <c r="L5" s="91">
        <f t="shared" ref="L5:L32" si="3">+K5*$C5</f>
        <v>2979.15</v>
      </c>
      <c r="M5" s="85"/>
    </row>
    <row r="6" spans="2:13" s="86" customFormat="1" x14ac:dyDescent="0.25">
      <c r="B6" s="740">
        <v>3</v>
      </c>
      <c r="C6" s="256">
        <v>84</v>
      </c>
      <c r="D6" s="258" t="s">
        <v>149</v>
      </c>
      <c r="E6" s="90">
        <v>5.28</v>
      </c>
      <c r="F6" s="90">
        <f t="shared" si="0"/>
        <v>443.52000000000004</v>
      </c>
      <c r="G6" s="90">
        <v>4</v>
      </c>
      <c r="H6" s="90">
        <f t="shared" si="1"/>
        <v>336</v>
      </c>
      <c r="I6" s="90">
        <v>3.75</v>
      </c>
      <c r="J6" s="90">
        <f t="shared" si="2"/>
        <v>315</v>
      </c>
      <c r="K6" s="90">
        <v>3.1</v>
      </c>
      <c r="L6" s="91">
        <f t="shared" si="3"/>
        <v>260.40000000000003</v>
      </c>
      <c r="M6" s="85"/>
    </row>
    <row r="7" spans="2:13" s="86" customFormat="1" x14ac:dyDescent="0.25">
      <c r="B7" s="740">
        <v>4</v>
      </c>
      <c r="C7" s="256">
        <v>84</v>
      </c>
      <c r="D7" s="258" t="s">
        <v>150</v>
      </c>
      <c r="E7" s="90">
        <v>5.32</v>
      </c>
      <c r="F7" s="90">
        <f t="shared" si="0"/>
        <v>446.88</v>
      </c>
      <c r="G7" s="90">
        <v>4</v>
      </c>
      <c r="H7" s="90">
        <f t="shared" si="1"/>
        <v>336</v>
      </c>
      <c r="I7" s="90">
        <v>3.75</v>
      </c>
      <c r="J7" s="90">
        <f t="shared" si="2"/>
        <v>315</v>
      </c>
      <c r="K7" s="90">
        <v>3.1</v>
      </c>
      <c r="L7" s="91">
        <f t="shared" si="3"/>
        <v>260.40000000000003</v>
      </c>
      <c r="M7" s="85"/>
    </row>
    <row r="8" spans="2:13" s="86" customFormat="1" x14ac:dyDescent="0.25">
      <c r="B8" s="740">
        <v>5</v>
      </c>
      <c r="C8" s="256">
        <v>24</v>
      </c>
      <c r="D8" s="258" t="s">
        <v>151</v>
      </c>
      <c r="E8" s="90">
        <v>5.3</v>
      </c>
      <c r="F8" s="90">
        <f t="shared" si="0"/>
        <v>127.19999999999999</v>
      </c>
      <c r="G8" s="90">
        <v>4</v>
      </c>
      <c r="H8" s="90">
        <f t="shared" si="1"/>
        <v>96</v>
      </c>
      <c r="I8" s="90">
        <v>3.75</v>
      </c>
      <c r="J8" s="90">
        <f t="shared" si="2"/>
        <v>90</v>
      </c>
      <c r="K8" s="90">
        <v>3.1</v>
      </c>
      <c r="L8" s="91">
        <f t="shared" si="3"/>
        <v>74.400000000000006</v>
      </c>
      <c r="M8" s="85"/>
    </row>
    <row r="9" spans="2:13" s="86" customFormat="1" x14ac:dyDescent="0.25">
      <c r="B9" s="740">
        <v>6</v>
      </c>
      <c r="C9" s="256">
        <v>24</v>
      </c>
      <c r="D9" s="258" t="s">
        <v>152</v>
      </c>
      <c r="E9" s="90">
        <v>19.95</v>
      </c>
      <c r="F9" s="90">
        <f>+E9*C9</f>
        <v>478.79999999999995</v>
      </c>
      <c r="G9" s="90">
        <v>12.09</v>
      </c>
      <c r="H9" s="90">
        <f>+G9*C9</f>
        <v>290.15999999999997</v>
      </c>
      <c r="I9" s="90">
        <v>8.5</v>
      </c>
      <c r="J9" s="90">
        <f t="shared" si="2"/>
        <v>204</v>
      </c>
      <c r="K9" s="90">
        <v>11.88</v>
      </c>
      <c r="L9" s="91">
        <f t="shared" si="3"/>
        <v>285.12</v>
      </c>
      <c r="M9" s="85"/>
    </row>
    <row r="10" spans="2:13" s="86" customFormat="1" x14ac:dyDescent="0.25">
      <c r="B10" s="740">
        <v>7</v>
      </c>
      <c r="C10" s="256">
        <v>24</v>
      </c>
      <c r="D10" s="258" t="s">
        <v>153</v>
      </c>
      <c r="E10" s="90">
        <v>19.95</v>
      </c>
      <c r="F10" s="90">
        <f t="shared" ref="F10:F13" si="4">+E10*C10</f>
        <v>478.79999999999995</v>
      </c>
      <c r="G10" s="90">
        <v>12.09</v>
      </c>
      <c r="H10" s="90">
        <f t="shared" ref="H10:H12" si="5">+G10*C10</f>
        <v>290.15999999999997</v>
      </c>
      <c r="I10" s="90">
        <v>13.2</v>
      </c>
      <c r="J10" s="90">
        <f t="shared" si="2"/>
        <v>316.79999999999995</v>
      </c>
      <c r="K10" s="90">
        <v>11.88</v>
      </c>
      <c r="L10" s="91">
        <f t="shared" si="3"/>
        <v>285.12</v>
      </c>
      <c r="M10" s="85"/>
    </row>
    <row r="11" spans="2:13" s="86" customFormat="1" x14ac:dyDescent="0.25">
      <c r="B11" s="740">
        <v>8</v>
      </c>
      <c r="C11" s="256">
        <v>12</v>
      </c>
      <c r="D11" s="258" t="s">
        <v>154</v>
      </c>
      <c r="E11" s="90">
        <v>19.95</v>
      </c>
      <c r="F11" s="90">
        <f t="shared" si="4"/>
        <v>239.39999999999998</v>
      </c>
      <c r="G11" s="90">
        <v>12.09</v>
      </c>
      <c r="H11" s="90">
        <f t="shared" si="5"/>
        <v>145.07999999999998</v>
      </c>
      <c r="I11" s="90">
        <v>8.5</v>
      </c>
      <c r="J11" s="90">
        <f t="shared" si="2"/>
        <v>102</v>
      </c>
      <c r="K11" s="90">
        <v>11.88</v>
      </c>
      <c r="L11" s="91">
        <f t="shared" si="3"/>
        <v>142.56</v>
      </c>
      <c r="M11" s="85"/>
    </row>
    <row r="12" spans="2:13" s="86" customFormat="1" x14ac:dyDescent="0.25">
      <c r="B12" s="740">
        <v>9</v>
      </c>
      <c r="C12" s="256">
        <v>24</v>
      </c>
      <c r="D12" s="258" t="s">
        <v>155</v>
      </c>
      <c r="E12" s="90">
        <v>10.95</v>
      </c>
      <c r="F12" s="90">
        <f t="shared" si="4"/>
        <v>262.79999999999995</v>
      </c>
      <c r="G12" s="90">
        <v>12.62</v>
      </c>
      <c r="H12" s="90">
        <f t="shared" si="5"/>
        <v>302.88</v>
      </c>
      <c r="I12" s="90">
        <v>8.5</v>
      </c>
      <c r="J12" s="90">
        <f t="shared" si="2"/>
        <v>204</v>
      </c>
      <c r="K12" s="90" t="s">
        <v>36</v>
      </c>
      <c r="L12" s="91" t="s">
        <v>36</v>
      </c>
      <c r="M12" s="85"/>
    </row>
    <row r="13" spans="2:13" s="86" customFormat="1" x14ac:dyDescent="0.25">
      <c r="B13" s="740">
        <v>10</v>
      </c>
      <c r="C13" s="256">
        <v>12</v>
      </c>
      <c r="D13" s="258" t="s">
        <v>188</v>
      </c>
      <c r="E13" s="90">
        <v>23.95</v>
      </c>
      <c r="F13" s="90">
        <f t="shared" si="4"/>
        <v>287.39999999999998</v>
      </c>
      <c r="G13" s="90">
        <v>35.869999999999997</v>
      </c>
      <c r="H13" s="90">
        <f>+G13*C13</f>
        <v>430.43999999999994</v>
      </c>
      <c r="I13" s="90" t="s">
        <v>36</v>
      </c>
      <c r="J13" s="90" t="s">
        <v>36</v>
      </c>
      <c r="K13" s="90">
        <v>32.19</v>
      </c>
      <c r="L13" s="91">
        <f t="shared" si="3"/>
        <v>386.28</v>
      </c>
      <c r="M13" s="85"/>
    </row>
    <row r="14" spans="2:13" s="86" customFormat="1" x14ac:dyDescent="0.25">
      <c r="B14" s="740">
        <v>11</v>
      </c>
      <c r="C14" s="256">
        <v>20</v>
      </c>
      <c r="D14" s="258" t="s">
        <v>189</v>
      </c>
      <c r="E14" s="90">
        <v>35.5</v>
      </c>
      <c r="F14" s="90">
        <f>+E14*C14</f>
        <v>710</v>
      </c>
      <c r="G14" s="90">
        <v>37.82</v>
      </c>
      <c r="H14" s="90">
        <f>+G14*C14</f>
        <v>756.4</v>
      </c>
      <c r="I14" s="90">
        <v>29.57</v>
      </c>
      <c r="J14" s="90">
        <f t="shared" si="2"/>
        <v>591.4</v>
      </c>
      <c r="K14" s="90">
        <v>43.22</v>
      </c>
      <c r="L14" s="91">
        <f t="shared" si="3"/>
        <v>864.4</v>
      </c>
      <c r="M14" s="85"/>
    </row>
    <row r="15" spans="2:13" s="86" customFormat="1" x14ac:dyDescent="0.25">
      <c r="B15" s="740">
        <v>12</v>
      </c>
      <c r="C15" s="256">
        <v>35</v>
      </c>
      <c r="D15" s="258" t="s">
        <v>191</v>
      </c>
      <c r="E15" s="90">
        <v>59.39</v>
      </c>
      <c r="F15" s="90">
        <f>+E15*C15</f>
        <v>2078.65</v>
      </c>
      <c r="G15" s="90">
        <v>58.32</v>
      </c>
      <c r="H15" s="90">
        <f t="shared" ref="H15:H16" si="6">+G15*C15</f>
        <v>2041.2</v>
      </c>
      <c r="I15" s="90">
        <v>55</v>
      </c>
      <c r="J15" s="90">
        <f t="shared" si="2"/>
        <v>1925</v>
      </c>
      <c r="K15" s="90">
        <v>53.15</v>
      </c>
      <c r="L15" s="91">
        <f t="shared" si="3"/>
        <v>1860.25</v>
      </c>
      <c r="M15" s="85"/>
    </row>
    <row r="16" spans="2:13" s="86" customFormat="1" x14ac:dyDescent="0.25">
      <c r="B16" s="740">
        <v>13</v>
      </c>
      <c r="C16" s="256">
        <v>18</v>
      </c>
      <c r="D16" s="258" t="s">
        <v>192</v>
      </c>
      <c r="E16" s="90">
        <v>65</v>
      </c>
      <c r="F16" s="90">
        <f t="shared" ref="F16:F32" si="7">+E16*C16</f>
        <v>1170</v>
      </c>
      <c r="G16" s="90">
        <v>55.1</v>
      </c>
      <c r="H16" s="90">
        <f t="shared" si="6"/>
        <v>991.80000000000007</v>
      </c>
      <c r="I16" s="90">
        <v>47.83</v>
      </c>
      <c r="J16" s="90">
        <f t="shared" si="2"/>
        <v>860.93999999999994</v>
      </c>
      <c r="K16" s="90">
        <v>31.53</v>
      </c>
      <c r="L16" s="91">
        <f t="shared" si="3"/>
        <v>567.54</v>
      </c>
      <c r="M16" s="85"/>
    </row>
    <row r="17" spans="2:13" s="86" customFormat="1" x14ac:dyDescent="0.25">
      <c r="B17" s="740">
        <v>14</v>
      </c>
      <c r="C17" s="256">
        <v>12</v>
      </c>
      <c r="D17" s="259" t="s">
        <v>181</v>
      </c>
      <c r="E17" s="90">
        <v>229.5</v>
      </c>
      <c r="F17" s="90">
        <f t="shared" ref="F17:F20" si="8">+E17*C17</f>
        <v>2754</v>
      </c>
      <c r="G17" s="90">
        <v>237.16</v>
      </c>
      <c r="H17" s="90">
        <f t="shared" ref="H17:H20" si="9">+G17*C17</f>
        <v>2845.92</v>
      </c>
      <c r="I17" s="90">
        <v>225</v>
      </c>
      <c r="J17" s="90">
        <f t="shared" si="2"/>
        <v>2700</v>
      </c>
      <c r="K17" s="90">
        <v>241.05</v>
      </c>
      <c r="L17" s="91">
        <f t="shared" si="3"/>
        <v>2892.6000000000004</v>
      </c>
      <c r="M17" s="85"/>
    </row>
    <row r="18" spans="2:13" s="86" customFormat="1" x14ac:dyDescent="0.25">
      <c r="B18" s="740">
        <v>15</v>
      </c>
      <c r="C18" s="256">
        <v>6</v>
      </c>
      <c r="D18" s="258" t="s">
        <v>163</v>
      </c>
      <c r="E18" s="90">
        <v>28.5</v>
      </c>
      <c r="F18" s="90">
        <f t="shared" si="8"/>
        <v>171</v>
      </c>
      <c r="G18" s="90">
        <v>25.72</v>
      </c>
      <c r="H18" s="90">
        <f t="shared" si="9"/>
        <v>154.32</v>
      </c>
      <c r="I18" s="90">
        <v>27.58</v>
      </c>
      <c r="J18" s="90">
        <f t="shared" si="2"/>
        <v>165.48</v>
      </c>
      <c r="K18" s="90">
        <v>33.15</v>
      </c>
      <c r="L18" s="91">
        <f t="shared" si="3"/>
        <v>198.89999999999998</v>
      </c>
      <c r="M18" s="85"/>
    </row>
    <row r="19" spans="2:13" s="86" customFormat="1" x14ac:dyDescent="0.25">
      <c r="B19" s="740">
        <v>16</v>
      </c>
      <c r="C19" s="256">
        <v>5</v>
      </c>
      <c r="D19" s="258" t="s">
        <v>194</v>
      </c>
      <c r="E19" s="90">
        <v>3.95</v>
      </c>
      <c r="F19" s="90">
        <f t="shared" si="8"/>
        <v>19.75</v>
      </c>
      <c r="G19" s="90">
        <v>2.25</v>
      </c>
      <c r="H19" s="90">
        <f t="shared" si="9"/>
        <v>11.25</v>
      </c>
      <c r="I19" s="90">
        <v>4.9800000000000004</v>
      </c>
      <c r="J19" s="90">
        <f t="shared" si="2"/>
        <v>24.900000000000002</v>
      </c>
      <c r="K19" s="90">
        <v>7.86</v>
      </c>
      <c r="L19" s="91">
        <f t="shared" si="3"/>
        <v>39.300000000000004</v>
      </c>
      <c r="M19" s="85"/>
    </row>
    <row r="20" spans="2:13" s="86" customFormat="1" x14ac:dyDescent="0.25">
      <c r="B20" s="740">
        <v>17</v>
      </c>
      <c r="C20" s="256">
        <v>4</v>
      </c>
      <c r="D20" s="258" t="s">
        <v>195</v>
      </c>
      <c r="E20" s="90">
        <v>212.88</v>
      </c>
      <c r="F20" s="90">
        <f t="shared" si="8"/>
        <v>851.52</v>
      </c>
      <c r="G20" s="90">
        <v>153</v>
      </c>
      <c r="H20" s="90">
        <f t="shared" si="9"/>
        <v>612</v>
      </c>
      <c r="I20" s="90">
        <v>145</v>
      </c>
      <c r="J20" s="90">
        <f t="shared" si="2"/>
        <v>580</v>
      </c>
      <c r="K20" s="90">
        <v>214.68</v>
      </c>
      <c r="L20" s="91">
        <f t="shared" si="3"/>
        <v>858.72</v>
      </c>
      <c r="M20" s="85"/>
    </row>
    <row r="21" spans="2:13" s="86" customFormat="1" x14ac:dyDescent="0.25">
      <c r="B21" s="740">
        <v>18</v>
      </c>
      <c r="C21" s="256">
        <v>1</v>
      </c>
      <c r="D21" s="258" t="s">
        <v>196</v>
      </c>
      <c r="E21" s="90">
        <v>225.78</v>
      </c>
      <c r="F21" s="90">
        <f>+E21*C21</f>
        <v>225.78</v>
      </c>
      <c r="G21" s="90">
        <v>194</v>
      </c>
      <c r="H21" s="90">
        <f>+G21*C21</f>
        <v>194</v>
      </c>
      <c r="I21" s="90">
        <v>190</v>
      </c>
      <c r="J21" s="90">
        <f t="shared" si="2"/>
        <v>190</v>
      </c>
      <c r="K21" s="90">
        <v>244.91</v>
      </c>
      <c r="L21" s="91">
        <f t="shared" si="3"/>
        <v>244.91</v>
      </c>
      <c r="M21" s="85"/>
    </row>
    <row r="22" spans="2:13" s="86" customFormat="1" x14ac:dyDescent="0.25">
      <c r="B22" s="740">
        <v>19</v>
      </c>
      <c r="C22" s="256">
        <v>4</v>
      </c>
      <c r="D22" s="258" t="s">
        <v>197</v>
      </c>
      <c r="E22" s="90">
        <v>135</v>
      </c>
      <c r="F22" s="90">
        <f t="shared" ref="F22:F24" si="10">+E22*C22</f>
        <v>540</v>
      </c>
      <c r="G22" s="90">
        <v>96.17</v>
      </c>
      <c r="H22" s="90">
        <f>+G22*C22</f>
        <v>384.68</v>
      </c>
      <c r="I22" s="90">
        <v>132</v>
      </c>
      <c r="J22" s="90">
        <f t="shared" si="2"/>
        <v>528</v>
      </c>
      <c r="K22" s="90">
        <v>88.45</v>
      </c>
      <c r="L22" s="91">
        <f t="shared" si="3"/>
        <v>353.8</v>
      </c>
      <c r="M22" s="85"/>
    </row>
    <row r="23" spans="2:13" s="86" customFormat="1" x14ac:dyDescent="0.25">
      <c r="B23" s="740">
        <v>20</v>
      </c>
      <c r="C23" s="256">
        <v>6</v>
      </c>
      <c r="D23" s="258" t="s">
        <v>200</v>
      </c>
      <c r="E23" s="90">
        <v>24.3</v>
      </c>
      <c r="F23" s="90">
        <f t="shared" si="10"/>
        <v>145.80000000000001</v>
      </c>
      <c r="G23" s="90">
        <v>14.95</v>
      </c>
      <c r="H23" s="90">
        <f t="shared" ref="H23:H32" si="11">+G23*C23</f>
        <v>89.699999999999989</v>
      </c>
      <c r="I23" s="90">
        <v>14.98</v>
      </c>
      <c r="J23" s="90">
        <f t="shared" si="2"/>
        <v>89.88</v>
      </c>
      <c r="K23" s="90">
        <v>38.01</v>
      </c>
      <c r="L23" s="91">
        <f t="shared" si="3"/>
        <v>228.06</v>
      </c>
      <c r="M23" s="85"/>
    </row>
    <row r="24" spans="2:13" s="86" customFormat="1" x14ac:dyDescent="0.25">
      <c r="B24" s="740">
        <v>21</v>
      </c>
      <c r="C24" s="256">
        <v>2</v>
      </c>
      <c r="D24" s="258" t="s">
        <v>201</v>
      </c>
      <c r="E24" s="90">
        <v>99.5</v>
      </c>
      <c r="F24" s="90">
        <f t="shared" si="10"/>
        <v>199</v>
      </c>
      <c r="G24" s="90">
        <v>104.87</v>
      </c>
      <c r="H24" s="90">
        <f t="shared" si="11"/>
        <v>209.74</v>
      </c>
      <c r="I24" s="90">
        <v>73</v>
      </c>
      <c r="J24" s="90">
        <f t="shared" si="2"/>
        <v>146</v>
      </c>
      <c r="K24" s="90">
        <v>105.48</v>
      </c>
      <c r="L24" s="91">
        <f t="shared" si="3"/>
        <v>210.96</v>
      </c>
      <c r="M24" s="85"/>
    </row>
    <row r="25" spans="2:13" s="86" customFormat="1" x14ac:dyDescent="0.25">
      <c r="B25" s="740">
        <v>22</v>
      </c>
      <c r="C25" s="256">
        <v>2</v>
      </c>
      <c r="D25" s="259" t="s">
        <v>182</v>
      </c>
      <c r="E25" s="90">
        <v>1273.75</v>
      </c>
      <c r="F25" s="90">
        <f t="shared" ref="F25:F31" si="12">+E25*C25</f>
        <v>2547.5</v>
      </c>
      <c r="G25" s="90">
        <v>1445</v>
      </c>
      <c r="H25" s="90">
        <f t="shared" si="11"/>
        <v>2890</v>
      </c>
      <c r="I25" s="90">
        <v>1415</v>
      </c>
      <c r="J25" s="90">
        <f t="shared" si="2"/>
        <v>2830</v>
      </c>
      <c r="K25" s="90">
        <v>493.25</v>
      </c>
      <c r="L25" s="91">
        <f t="shared" si="3"/>
        <v>986.5</v>
      </c>
      <c r="M25" s="85"/>
    </row>
    <row r="26" spans="2:13" s="86" customFormat="1" x14ac:dyDescent="0.25">
      <c r="B26" s="740">
        <v>23</v>
      </c>
      <c r="C26" s="256">
        <v>8</v>
      </c>
      <c r="D26" s="258" t="s">
        <v>183</v>
      </c>
      <c r="E26" s="90">
        <v>24.25</v>
      </c>
      <c r="F26" s="90">
        <f t="shared" si="12"/>
        <v>194</v>
      </c>
      <c r="G26" s="90">
        <v>22.05</v>
      </c>
      <c r="H26" s="90">
        <f t="shared" si="11"/>
        <v>176.4</v>
      </c>
      <c r="I26" s="90">
        <v>19.13</v>
      </c>
      <c r="J26" s="90">
        <f t="shared" si="2"/>
        <v>153.04</v>
      </c>
      <c r="K26" s="90">
        <v>27.82</v>
      </c>
      <c r="L26" s="91">
        <f t="shared" si="3"/>
        <v>222.56</v>
      </c>
      <c r="M26" s="85"/>
    </row>
    <row r="27" spans="2:13" s="86" customFormat="1" x14ac:dyDescent="0.25">
      <c r="B27" s="740">
        <v>24</v>
      </c>
      <c r="C27" s="256">
        <v>3</v>
      </c>
      <c r="D27" s="259" t="s">
        <v>519</v>
      </c>
      <c r="E27" s="90">
        <f>114.12/C27</f>
        <v>38.04</v>
      </c>
      <c r="F27" s="90">
        <f>+E27*C27</f>
        <v>114.12</v>
      </c>
      <c r="G27" s="90">
        <v>10</v>
      </c>
      <c r="H27" s="90">
        <f t="shared" si="11"/>
        <v>30</v>
      </c>
      <c r="I27" s="90">
        <v>8.5</v>
      </c>
      <c r="J27" s="90">
        <f t="shared" si="2"/>
        <v>25.5</v>
      </c>
      <c r="K27" s="90">
        <v>11.63</v>
      </c>
      <c r="L27" s="91">
        <f t="shared" si="3"/>
        <v>34.89</v>
      </c>
      <c r="M27" s="85"/>
    </row>
    <row r="28" spans="2:13" s="86" customFormat="1" x14ac:dyDescent="0.25">
      <c r="B28" s="740">
        <v>25</v>
      </c>
      <c r="C28" s="256">
        <v>12</v>
      </c>
      <c r="D28" s="258" t="s">
        <v>185</v>
      </c>
      <c r="E28" s="90">
        <v>12.75</v>
      </c>
      <c r="F28" s="90">
        <f t="shared" si="12"/>
        <v>153</v>
      </c>
      <c r="G28" s="90">
        <v>11.03</v>
      </c>
      <c r="H28" s="90">
        <f t="shared" si="11"/>
        <v>132.35999999999999</v>
      </c>
      <c r="I28" s="90">
        <v>12.5</v>
      </c>
      <c r="J28" s="90">
        <f t="shared" si="2"/>
        <v>150</v>
      </c>
      <c r="K28" s="90">
        <v>11.62</v>
      </c>
      <c r="L28" s="91">
        <f t="shared" si="3"/>
        <v>139.44</v>
      </c>
      <c r="M28" s="85"/>
    </row>
    <row r="29" spans="2:13" s="86" customFormat="1" x14ac:dyDescent="0.25">
      <c r="B29" s="740">
        <v>26</v>
      </c>
      <c r="C29" s="256">
        <v>24</v>
      </c>
      <c r="D29" s="259" t="s">
        <v>520</v>
      </c>
      <c r="E29" s="90">
        <v>1.05</v>
      </c>
      <c r="F29" s="90">
        <f t="shared" si="12"/>
        <v>25.200000000000003</v>
      </c>
      <c r="G29" s="90">
        <v>2</v>
      </c>
      <c r="H29" s="90">
        <f t="shared" si="11"/>
        <v>48</v>
      </c>
      <c r="I29" s="90">
        <f>30.08/C29</f>
        <v>1.2533333333333332</v>
      </c>
      <c r="J29" s="90">
        <f t="shared" si="2"/>
        <v>30.08</v>
      </c>
      <c r="K29" s="90">
        <v>53.43</v>
      </c>
      <c r="L29" s="91">
        <f t="shared" si="3"/>
        <v>1282.32</v>
      </c>
      <c r="M29" s="85"/>
    </row>
    <row r="30" spans="2:13" s="86" customFormat="1" x14ac:dyDescent="0.25">
      <c r="B30" s="740">
        <v>27</v>
      </c>
      <c r="C30" s="261">
        <v>24</v>
      </c>
      <c r="D30" s="262" t="s">
        <v>521</v>
      </c>
      <c r="E30" s="95">
        <v>5.22</v>
      </c>
      <c r="F30" s="95">
        <f t="shared" si="12"/>
        <v>125.28</v>
      </c>
      <c r="G30" s="95">
        <v>4.4000000000000004</v>
      </c>
      <c r="H30" s="90">
        <f t="shared" si="11"/>
        <v>105.60000000000001</v>
      </c>
      <c r="I30" s="95">
        <f>192/C30</f>
        <v>8</v>
      </c>
      <c r="J30" s="90">
        <f t="shared" si="2"/>
        <v>192</v>
      </c>
      <c r="K30" s="95">
        <v>20.95</v>
      </c>
      <c r="L30" s="91">
        <f t="shared" si="3"/>
        <v>502.79999999999995</v>
      </c>
      <c r="M30" s="85"/>
    </row>
    <row r="31" spans="2:13" s="86" customFormat="1" x14ac:dyDescent="0.25">
      <c r="B31" s="740">
        <v>28</v>
      </c>
      <c r="C31" s="261">
        <v>12</v>
      </c>
      <c r="D31" s="262" t="s">
        <v>187</v>
      </c>
      <c r="E31" s="95">
        <v>29.5</v>
      </c>
      <c r="F31" s="95">
        <f t="shared" si="12"/>
        <v>354</v>
      </c>
      <c r="G31" s="95">
        <v>37.68</v>
      </c>
      <c r="H31" s="90">
        <f t="shared" si="11"/>
        <v>452.15999999999997</v>
      </c>
      <c r="I31" s="95">
        <v>31.5</v>
      </c>
      <c r="J31" s="90">
        <f t="shared" si="2"/>
        <v>378</v>
      </c>
      <c r="K31" s="95">
        <v>51.89</v>
      </c>
      <c r="L31" s="91">
        <f t="shared" si="3"/>
        <v>622.68000000000006</v>
      </c>
      <c r="M31" s="85"/>
    </row>
    <row r="32" spans="2:13" s="86" customFormat="1" ht="13.5" thickBot="1" x14ac:dyDescent="0.3">
      <c r="B32" s="740">
        <v>29</v>
      </c>
      <c r="C32" s="261">
        <v>12</v>
      </c>
      <c r="D32" s="262" t="s">
        <v>522</v>
      </c>
      <c r="E32" s="95">
        <v>8.65</v>
      </c>
      <c r="F32" s="95">
        <f t="shared" si="7"/>
        <v>103.80000000000001</v>
      </c>
      <c r="G32" s="95">
        <v>72.8</v>
      </c>
      <c r="H32" s="90">
        <f t="shared" si="11"/>
        <v>873.59999999999991</v>
      </c>
      <c r="I32" s="95">
        <v>12.17</v>
      </c>
      <c r="J32" s="90">
        <f t="shared" si="2"/>
        <v>146.04</v>
      </c>
      <c r="K32" s="95">
        <v>18.36</v>
      </c>
      <c r="L32" s="91">
        <f t="shared" si="3"/>
        <v>220.32</v>
      </c>
      <c r="M32" s="85"/>
    </row>
    <row r="33" spans="2:12" x14ac:dyDescent="0.25">
      <c r="B33" s="1138" t="s">
        <v>4</v>
      </c>
      <c r="C33" s="1139"/>
      <c r="D33" s="1139"/>
      <c r="E33" s="1140">
        <f>SUM(F4:F32)</f>
        <v>25353.949999999993</v>
      </c>
      <c r="F33" s="1140"/>
      <c r="G33" s="1140">
        <f>SUM(H4:H32)</f>
        <v>23616.350000000002</v>
      </c>
      <c r="H33" s="1140"/>
      <c r="I33" s="1293">
        <f>SUM(J4:J32)</f>
        <v>22473.060000000005</v>
      </c>
      <c r="J33" s="1293"/>
      <c r="K33" s="1140">
        <f>SUM(L4:L32)</f>
        <v>25106.430000000004</v>
      </c>
      <c r="L33" s="1141"/>
    </row>
    <row r="34" spans="2:12" x14ac:dyDescent="0.25">
      <c r="B34" s="1149" t="s">
        <v>2</v>
      </c>
      <c r="C34" s="1150"/>
      <c r="D34" s="1150"/>
      <c r="E34" s="1151">
        <v>3362.46</v>
      </c>
      <c r="F34" s="1151"/>
      <c r="G34" s="1151">
        <v>3119.08</v>
      </c>
      <c r="H34" s="1151"/>
      <c r="I34" s="1151">
        <v>3112.7</v>
      </c>
      <c r="J34" s="1151"/>
      <c r="K34" s="1151">
        <f>2205.89+1628.94</f>
        <v>3834.83</v>
      </c>
      <c r="L34" s="1154"/>
    </row>
    <row r="35" spans="2:12" ht="13.5" thickBot="1" x14ac:dyDescent="0.3">
      <c r="B35" s="1161" t="s">
        <v>3</v>
      </c>
      <c r="C35" s="1162"/>
      <c r="D35" s="1162"/>
      <c r="E35" s="1155">
        <f>(E33)+E34</f>
        <v>28716.409999999993</v>
      </c>
      <c r="F35" s="1155"/>
      <c r="G35" s="1155">
        <f>(G33)+G34</f>
        <v>26735.43</v>
      </c>
      <c r="H35" s="1155"/>
      <c r="I35" s="1155">
        <f t="shared" ref="I35" si="13">(I33)+I34</f>
        <v>25585.760000000006</v>
      </c>
      <c r="J35" s="1155"/>
      <c r="K35" s="1155">
        <f t="shared" ref="K35" si="14">(K33)+K34</f>
        <v>28941.260000000002</v>
      </c>
      <c r="L35" s="1156"/>
    </row>
    <row r="37" spans="2:12" x14ac:dyDescent="0.25">
      <c r="F37" s="99"/>
      <c r="G37" s="99"/>
      <c r="H37" s="99"/>
      <c r="J37" s="99"/>
      <c r="L37" s="99"/>
    </row>
  </sheetData>
  <mergeCells count="21">
    <mergeCell ref="B35:D35"/>
    <mergeCell ref="E35:F35"/>
    <mergeCell ref="G35:H35"/>
    <mergeCell ref="I35:J35"/>
    <mergeCell ref="K35:L35"/>
    <mergeCell ref="B33:D33"/>
    <mergeCell ref="E33:F33"/>
    <mergeCell ref="G33:H33"/>
    <mergeCell ref="I33:J33"/>
    <mergeCell ref="K33:L33"/>
    <mergeCell ref="B34:D34"/>
    <mergeCell ref="E34:F34"/>
    <mergeCell ref="G34:H34"/>
    <mergeCell ref="I34:J34"/>
    <mergeCell ref="K34:L34"/>
    <mergeCell ref="B1:L1"/>
    <mergeCell ref="B2:B3"/>
    <mergeCell ref="E2:F2"/>
    <mergeCell ref="G2:H2"/>
    <mergeCell ref="I2:J2"/>
    <mergeCell ref="K2:L2"/>
  </mergeCells>
  <conditionalFormatting sqref="F4:F32 H5:H32">
    <cfRule type="expression" dxfId="224" priority="15">
      <formula>E4=""</formula>
    </cfRule>
  </conditionalFormatting>
  <conditionalFormatting sqref="F4:F32 H5:H32">
    <cfRule type="expression" dxfId="223" priority="16">
      <formula>E4=MIN($E4,$G4,$I4,$K4)</formula>
    </cfRule>
  </conditionalFormatting>
  <conditionalFormatting sqref="H4">
    <cfRule type="expression" dxfId="222" priority="11">
      <formula>G4=""</formula>
    </cfRule>
  </conditionalFormatting>
  <conditionalFormatting sqref="H4">
    <cfRule type="expression" dxfId="221" priority="12">
      <formula>G4=MIN($E4,$G4,$I4,$K4)</formula>
    </cfRule>
  </conditionalFormatting>
  <conditionalFormatting sqref="J4:J32">
    <cfRule type="expression" dxfId="220" priority="7">
      <formula>I4=""</formula>
    </cfRule>
  </conditionalFormatting>
  <conditionalFormatting sqref="J4:J32">
    <cfRule type="expression" dxfId="219" priority="8">
      <formula>I4=MIN($E4,$G4,$I4,$K4)</formula>
    </cfRule>
  </conditionalFormatting>
  <conditionalFormatting sqref="L4:L32">
    <cfRule type="expression" dxfId="218" priority="3">
      <formula>K4=""</formula>
    </cfRule>
  </conditionalFormatting>
  <conditionalFormatting sqref="L4:L32">
    <cfRule type="expression" dxfId="217" priority="4">
      <formula>K4=MIN($E4,$G4,$I4,$K4)</formula>
    </cfRule>
  </conditionalFormatting>
  <pageMargins left="0.25" right="0.25" top="0.75" bottom="0.75" header="0.3" footer="0.3"/>
  <pageSetup orientation="landscape" r:id="rId1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0093-1645-4E29-9763-977F1F032216}">
  <sheetPr codeName="Hoja87"/>
  <dimension ref="B1:M37"/>
  <sheetViews>
    <sheetView showGridLines="0" workbookViewId="0">
      <selection activeCell="K2" sqref="K2:L2"/>
    </sheetView>
  </sheetViews>
  <sheetFormatPr baseColWidth="10" defaultRowHeight="12.75" x14ac:dyDescent="0.25"/>
  <cols>
    <col min="1" max="1" width="2.7109375" style="73" bestFit="1" customWidth="1"/>
    <col min="2" max="2" width="3.5703125" style="73" bestFit="1" customWidth="1"/>
    <col min="3" max="3" width="5.28515625" style="73" bestFit="1" customWidth="1"/>
    <col min="4" max="4" width="24" style="73" bestFit="1" customWidth="1"/>
    <col min="5" max="12" width="11" style="73" bestFit="1" customWidth="1"/>
    <col min="13" max="13" width="13.42578125" style="74" bestFit="1" customWidth="1"/>
    <col min="14" max="14" width="13.42578125" style="73" bestFit="1" customWidth="1"/>
    <col min="15" max="16384" width="11.42578125" style="73"/>
  </cols>
  <sheetData>
    <row r="1" spans="2:13" x14ac:dyDescent="0.25">
      <c r="B1" s="1287" t="s">
        <v>1</v>
      </c>
      <c r="C1" s="1288"/>
      <c r="D1" s="1288"/>
      <c r="E1" s="1288"/>
      <c r="F1" s="1288"/>
      <c r="G1" s="1288"/>
      <c r="H1" s="1288"/>
      <c r="I1" s="1288"/>
      <c r="J1" s="1288"/>
      <c r="K1" s="1288"/>
      <c r="L1" s="1289"/>
    </row>
    <row r="2" spans="2:13" x14ac:dyDescent="0.25">
      <c r="B2" s="1290" t="s">
        <v>6</v>
      </c>
      <c r="C2" s="250" t="s">
        <v>17</v>
      </c>
      <c r="D2" s="251" t="s">
        <v>518</v>
      </c>
      <c r="E2" s="1291" t="s">
        <v>178</v>
      </c>
      <c r="F2" s="1291"/>
      <c r="G2" s="1291" t="s">
        <v>523</v>
      </c>
      <c r="H2" s="1291"/>
      <c r="I2" s="1291" t="s">
        <v>180</v>
      </c>
      <c r="J2" s="1291"/>
      <c r="K2" s="1291" t="s">
        <v>144</v>
      </c>
      <c r="L2" s="1292"/>
    </row>
    <row r="3" spans="2:13" x14ac:dyDescent="0.25">
      <c r="B3" s="1290"/>
      <c r="C3" s="252" t="s">
        <v>11</v>
      </c>
      <c r="D3" s="743" t="s">
        <v>0</v>
      </c>
      <c r="E3" s="743" t="s">
        <v>14</v>
      </c>
      <c r="F3" s="743" t="s">
        <v>10</v>
      </c>
      <c r="G3" s="743" t="s">
        <v>14</v>
      </c>
      <c r="H3" s="743" t="s">
        <v>10</v>
      </c>
      <c r="I3" s="743" t="s">
        <v>14</v>
      </c>
      <c r="J3" s="743" t="s">
        <v>10</v>
      </c>
      <c r="K3" s="743" t="s">
        <v>14</v>
      </c>
      <c r="L3" s="744" t="s">
        <v>10</v>
      </c>
    </row>
    <row r="4" spans="2:13" s="86" customFormat="1" x14ac:dyDescent="0.25">
      <c r="B4" s="742">
        <v>1</v>
      </c>
      <c r="C4" s="256">
        <v>55</v>
      </c>
      <c r="D4" s="257" t="s">
        <v>203</v>
      </c>
      <c r="E4" s="90">
        <v>129.5</v>
      </c>
      <c r="F4" s="90">
        <f>+E4*C4</f>
        <v>7122.5</v>
      </c>
      <c r="G4" s="90">
        <v>143.30000000000001</v>
      </c>
      <c r="H4" s="90">
        <f>+G4*C4</f>
        <v>7881.5000000000009</v>
      </c>
      <c r="I4" s="90">
        <v>127</v>
      </c>
      <c r="J4" s="90">
        <f>+I4*$C4</f>
        <v>6985</v>
      </c>
      <c r="K4" s="90">
        <v>147.31</v>
      </c>
      <c r="L4" s="91">
        <f>+K4*$C4</f>
        <v>8102.05</v>
      </c>
      <c r="M4" s="85"/>
    </row>
    <row r="5" spans="2:13" s="86" customFormat="1" x14ac:dyDescent="0.25">
      <c r="B5" s="742">
        <v>2</v>
      </c>
      <c r="C5" s="256">
        <v>15</v>
      </c>
      <c r="D5" s="258" t="s">
        <v>148</v>
      </c>
      <c r="E5" s="90">
        <v>198.95</v>
      </c>
      <c r="F5" s="90">
        <f t="shared" ref="F5:F8" si="0">+E5*C5</f>
        <v>2984.25</v>
      </c>
      <c r="G5" s="90">
        <v>186.5</v>
      </c>
      <c r="H5" s="90">
        <f t="shared" ref="H5:H8" si="1">+G5*C5</f>
        <v>2797.5</v>
      </c>
      <c r="I5" s="90">
        <v>149</v>
      </c>
      <c r="J5" s="90">
        <f t="shared" ref="J5:J32" si="2">+I5*$C5</f>
        <v>2235</v>
      </c>
      <c r="K5" s="90">
        <v>198.61</v>
      </c>
      <c r="L5" s="91">
        <f t="shared" ref="L5:L32" si="3">+K5*$C5</f>
        <v>2979.15</v>
      </c>
      <c r="M5" s="85"/>
    </row>
    <row r="6" spans="2:13" s="86" customFormat="1" x14ac:dyDescent="0.25">
      <c r="B6" s="742">
        <v>3</v>
      </c>
      <c r="C6" s="256">
        <v>84</v>
      </c>
      <c r="D6" s="258" t="s">
        <v>149</v>
      </c>
      <c r="E6" s="90">
        <v>5.28</v>
      </c>
      <c r="F6" s="90">
        <f t="shared" si="0"/>
        <v>443.52000000000004</v>
      </c>
      <c r="G6" s="90">
        <v>4</v>
      </c>
      <c r="H6" s="90">
        <f t="shared" si="1"/>
        <v>336</v>
      </c>
      <c r="I6" s="90">
        <v>3.75</v>
      </c>
      <c r="J6" s="90">
        <f t="shared" si="2"/>
        <v>315</v>
      </c>
      <c r="K6" s="90">
        <v>3.1</v>
      </c>
      <c r="L6" s="91">
        <f t="shared" si="3"/>
        <v>260.40000000000003</v>
      </c>
      <c r="M6" s="85"/>
    </row>
    <row r="7" spans="2:13" s="86" customFormat="1" x14ac:dyDescent="0.25">
      <c r="B7" s="742">
        <v>4</v>
      </c>
      <c r="C7" s="256">
        <v>84</v>
      </c>
      <c r="D7" s="258" t="s">
        <v>150</v>
      </c>
      <c r="E7" s="90">
        <v>5.32</v>
      </c>
      <c r="F7" s="90">
        <f t="shared" si="0"/>
        <v>446.88</v>
      </c>
      <c r="G7" s="90">
        <v>4</v>
      </c>
      <c r="H7" s="90">
        <f t="shared" si="1"/>
        <v>336</v>
      </c>
      <c r="I7" s="90">
        <v>3.75</v>
      </c>
      <c r="J7" s="90">
        <f t="shared" si="2"/>
        <v>315</v>
      </c>
      <c r="K7" s="90">
        <v>3.1</v>
      </c>
      <c r="L7" s="91">
        <f t="shared" si="3"/>
        <v>260.40000000000003</v>
      </c>
      <c r="M7" s="85"/>
    </row>
    <row r="8" spans="2:13" s="86" customFormat="1" x14ac:dyDescent="0.25">
      <c r="B8" s="742">
        <v>5</v>
      </c>
      <c r="C8" s="256">
        <v>24</v>
      </c>
      <c r="D8" s="258" t="s">
        <v>151</v>
      </c>
      <c r="E8" s="90">
        <v>5.3</v>
      </c>
      <c r="F8" s="90">
        <f t="shared" si="0"/>
        <v>127.19999999999999</v>
      </c>
      <c r="G8" s="90">
        <v>4</v>
      </c>
      <c r="H8" s="90">
        <f t="shared" si="1"/>
        <v>96</v>
      </c>
      <c r="I8" s="90">
        <v>3.75</v>
      </c>
      <c r="J8" s="90">
        <f t="shared" si="2"/>
        <v>90</v>
      </c>
      <c r="K8" s="90">
        <v>3.1</v>
      </c>
      <c r="L8" s="91">
        <f t="shared" si="3"/>
        <v>74.400000000000006</v>
      </c>
      <c r="M8" s="85"/>
    </row>
    <row r="9" spans="2:13" s="86" customFormat="1" x14ac:dyDescent="0.25">
      <c r="B9" s="742">
        <v>6</v>
      </c>
      <c r="C9" s="256">
        <v>24</v>
      </c>
      <c r="D9" s="258" t="s">
        <v>152</v>
      </c>
      <c r="E9" s="90">
        <v>19.95</v>
      </c>
      <c r="F9" s="90">
        <f>+E9*C9</f>
        <v>478.79999999999995</v>
      </c>
      <c r="G9" s="90">
        <v>12.09</v>
      </c>
      <c r="H9" s="90">
        <f>+G9*C9</f>
        <v>290.15999999999997</v>
      </c>
      <c r="I9" s="90">
        <v>8.5</v>
      </c>
      <c r="J9" s="90">
        <f t="shared" si="2"/>
        <v>204</v>
      </c>
      <c r="K9" s="90">
        <v>11.88</v>
      </c>
      <c r="L9" s="91">
        <f t="shared" si="3"/>
        <v>285.12</v>
      </c>
      <c r="M9" s="85"/>
    </row>
    <row r="10" spans="2:13" s="86" customFormat="1" x14ac:dyDescent="0.25">
      <c r="B10" s="742">
        <v>7</v>
      </c>
      <c r="C10" s="256">
        <v>24</v>
      </c>
      <c r="D10" s="258" t="s">
        <v>153</v>
      </c>
      <c r="E10" s="90">
        <v>19.95</v>
      </c>
      <c r="F10" s="90">
        <f t="shared" ref="F10:F13" si="4">+E10*C10</f>
        <v>478.79999999999995</v>
      </c>
      <c r="G10" s="90">
        <v>12.1</v>
      </c>
      <c r="H10" s="90">
        <f t="shared" ref="H10:H12" si="5">+G10*C10</f>
        <v>290.39999999999998</v>
      </c>
      <c r="I10" s="90">
        <v>13.2</v>
      </c>
      <c r="J10" s="90">
        <f t="shared" si="2"/>
        <v>316.79999999999995</v>
      </c>
      <c r="K10" s="90">
        <v>11.88</v>
      </c>
      <c r="L10" s="91">
        <f t="shared" si="3"/>
        <v>285.12</v>
      </c>
      <c r="M10" s="85"/>
    </row>
    <row r="11" spans="2:13" s="86" customFormat="1" x14ac:dyDescent="0.25">
      <c r="B11" s="742">
        <v>8</v>
      </c>
      <c r="C11" s="256">
        <v>12</v>
      </c>
      <c r="D11" s="258" t="s">
        <v>154</v>
      </c>
      <c r="E11" s="90">
        <v>19.95</v>
      </c>
      <c r="F11" s="90">
        <f t="shared" si="4"/>
        <v>239.39999999999998</v>
      </c>
      <c r="G11" s="90">
        <v>12.09</v>
      </c>
      <c r="H11" s="90">
        <f t="shared" si="5"/>
        <v>145.07999999999998</v>
      </c>
      <c r="I11" s="90">
        <v>8.5</v>
      </c>
      <c r="J11" s="90">
        <f t="shared" si="2"/>
        <v>102</v>
      </c>
      <c r="K11" s="90">
        <v>11.88</v>
      </c>
      <c r="L11" s="91">
        <f t="shared" si="3"/>
        <v>142.56</v>
      </c>
      <c r="M11" s="85"/>
    </row>
    <row r="12" spans="2:13" s="86" customFormat="1" x14ac:dyDescent="0.25">
      <c r="B12" s="742">
        <v>9</v>
      </c>
      <c r="C12" s="256">
        <v>24</v>
      </c>
      <c r="D12" s="258" t="s">
        <v>155</v>
      </c>
      <c r="E12" s="90">
        <v>10.95</v>
      </c>
      <c r="F12" s="90">
        <f t="shared" si="4"/>
        <v>262.79999999999995</v>
      </c>
      <c r="G12" s="90">
        <v>12.62</v>
      </c>
      <c r="H12" s="90">
        <f t="shared" si="5"/>
        <v>302.88</v>
      </c>
      <c r="I12" s="90">
        <v>8.5</v>
      </c>
      <c r="J12" s="90">
        <f t="shared" si="2"/>
        <v>204</v>
      </c>
      <c r="K12" s="90" t="s">
        <v>36</v>
      </c>
      <c r="L12" s="91" t="s">
        <v>36</v>
      </c>
      <c r="M12" s="85"/>
    </row>
    <row r="13" spans="2:13" s="86" customFormat="1" x14ac:dyDescent="0.25">
      <c r="B13" s="742">
        <v>10</v>
      </c>
      <c r="C13" s="256">
        <v>12</v>
      </c>
      <c r="D13" s="258" t="s">
        <v>188</v>
      </c>
      <c r="E13" s="90">
        <v>23.95</v>
      </c>
      <c r="F13" s="90">
        <f t="shared" si="4"/>
        <v>287.39999999999998</v>
      </c>
      <c r="G13" s="90">
        <v>35.869999999999997</v>
      </c>
      <c r="H13" s="90">
        <f>+G13*C13</f>
        <v>430.43999999999994</v>
      </c>
      <c r="I13" s="90" t="s">
        <v>36</v>
      </c>
      <c r="J13" s="90" t="s">
        <v>36</v>
      </c>
      <c r="K13" s="90">
        <v>32.19</v>
      </c>
      <c r="L13" s="91">
        <f t="shared" si="3"/>
        <v>386.28</v>
      </c>
      <c r="M13" s="85"/>
    </row>
    <row r="14" spans="2:13" s="86" customFormat="1" x14ac:dyDescent="0.25">
      <c r="B14" s="742">
        <v>11</v>
      </c>
      <c r="C14" s="256">
        <v>20</v>
      </c>
      <c r="D14" s="258" t="s">
        <v>189</v>
      </c>
      <c r="E14" s="90">
        <v>35.5</v>
      </c>
      <c r="F14" s="90">
        <f>+E14*C14</f>
        <v>710</v>
      </c>
      <c r="G14" s="90">
        <v>38.840000000000003</v>
      </c>
      <c r="H14" s="90">
        <f>+G14*C14</f>
        <v>776.80000000000007</v>
      </c>
      <c r="I14" s="90">
        <v>29.57</v>
      </c>
      <c r="J14" s="90">
        <f t="shared" si="2"/>
        <v>591.4</v>
      </c>
      <c r="K14" s="90">
        <v>43.22</v>
      </c>
      <c r="L14" s="91">
        <f t="shared" si="3"/>
        <v>864.4</v>
      </c>
      <c r="M14" s="85"/>
    </row>
    <row r="15" spans="2:13" s="86" customFormat="1" x14ac:dyDescent="0.25">
      <c r="B15" s="742">
        <v>12</v>
      </c>
      <c r="C15" s="256">
        <v>35</v>
      </c>
      <c r="D15" s="258" t="s">
        <v>191</v>
      </c>
      <c r="E15" s="90">
        <v>59.39</v>
      </c>
      <c r="F15" s="90">
        <f>+E15*C15</f>
        <v>2078.65</v>
      </c>
      <c r="G15" s="90">
        <v>76.08</v>
      </c>
      <c r="H15" s="90">
        <f t="shared" ref="H15:H20" si="6">+G15*C15</f>
        <v>2662.7999999999997</v>
      </c>
      <c r="I15" s="90">
        <v>55</v>
      </c>
      <c r="J15" s="90">
        <f t="shared" si="2"/>
        <v>1925</v>
      </c>
      <c r="K15" s="90">
        <v>53.15</v>
      </c>
      <c r="L15" s="91">
        <f t="shared" si="3"/>
        <v>1860.25</v>
      </c>
      <c r="M15" s="85"/>
    </row>
    <row r="16" spans="2:13" s="86" customFormat="1" x14ac:dyDescent="0.25">
      <c r="B16" s="742">
        <v>13</v>
      </c>
      <c r="C16" s="256">
        <v>18</v>
      </c>
      <c r="D16" s="258" t="s">
        <v>192</v>
      </c>
      <c r="E16" s="90">
        <v>65</v>
      </c>
      <c r="F16" s="90">
        <f t="shared" ref="F16:F32" si="7">+E16*C16</f>
        <v>1170</v>
      </c>
      <c r="G16" s="90">
        <v>55.1</v>
      </c>
      <c r="H16" s="90">
        <f t="shared" si="6"/>
        <v>991.80000000000007</v>
      </c>
      <c r="I16" s="90">
        <v>47.83</v>
      </c>
      <c r="J16" s="90">
        <f t="shared" si="2"/>
        <v>860.93999999999994</v>
      </c>
      <c r="K16" s="90">
        <v>31.53</v>
      </c>
      <c r="L16" s="91">
        <f t="shared" si="3"/>
        <v>567.54</v>
      </c>
      <c r="M16" s="85"/>
    </row>
    <row r="17" spans="2:13" s="86" customFormat="1" x14ac:dyDescent="0.25">
      <c r="B17" s="742">
        <v>14</v>
      </c>
      <c r="C17" s="256">
        <v>12</v>
      </c>
      <c r="D17" s="259" t="s">
        <v>181</v>
      </c>
      <c r="E17" s="90">
        <v>229.5</v>
      </c>
      <c r="F17" s="90">
        <f t="shared" si="7"/>
        <v>2754</v>
      </c>
      <c r="G17" s="90">
        <v>237.16</v>
      </c>
      <c r="H17" s="90">
        <f t="shared" si="6"/>
        <v>2845.92</v>
      </c>
      <c r="I17" s="90">
        <v>225</v>
      </c>
      <c r="J17" s="90">
        <f t="shared" si="2"/>
        <v>2700</v>
      </c>
      <c r="K17" s="90">
        <v>241.05</v>
      </c>
      <c r="L17" s="91">
        <f t="shared" si="3"/>
        <v>2892.6000000000004</v>
      </c>
      <c r="M17" s="85"/>
    </row>
    <row r="18" spans="2:13" s="86" customFormat="1" x14ac:dyDescent="0.25">
      <c r="B18" s="742">
        <v>15</v>
      </c>
      <c r="C18" s="256">
        <v>6</v>
      </c>
      <c r="D18" s="258" t="s">
        <v>163</v>
      </c>
      <c r="E18" s="90">
        <v>28.5</v>
      </c>
      <c r="F18" s="90">
        <f t="shared" si="7"/>
        <v>171</v>
      </c>
      <c r="G18" s="90">
        <v>27.3</v>
      </c>
      <c r="H18" s="90">
        <f t="shared" si="6"/>
        <v>163.80000000000001</v>
      </c>
      <c r="I18" s="90">
        <v>27.58</v>
      </c>
      <c r="J18" s="90">
        <f t="shared" si="2"/>
        <v>165.48</v>
      </c>
      <c r="K18" s="90">
        <v>33.15</v>
      </c>
      <c r="L18" s="91">
        <f t="shared" si="3"/>
        <v>198.89999999999998</v>
      </c>
      <c r="M18" s="85"/>
    </row>
    <row r="19" spans="2:13" s="86" customFormat="1" x14ac:dyDescent="0.25">
      <c r="B19" s="742">
        <v>16</v>
      </c>
      <c r="C19" s="256">
        <v>5</v>
      </c>
      <c r="D19" s="258" t="s">
        <v>194</v>
      </c>
      <c r="E19" s="90">
        <v>3.95</v>
      </c>
      <c r="F19" s="90">
        <f t="shared" si="7"/>
        <v>19.75</v>
      </c>
      <c r="G19" s="90">
        <v>7.87</v>
      </c>
      <c r="H19" s="90">
        <f t="shared" si="6"/>
        <v>39.35</v>
      </c>
      <c r="I19" s="90">
        <v>4.9800000000000004</v>
      </c>
      <c r="J19" s="90">
        <f t="shared" si="2"/>
        <v>24.900000000000002</v>
      </c>
      <c r="K19" s="90">
        <v>7.86</v>
      </c>
      <c r="L19" s="91">
        <f t="shared" si="3"/>
        <v>39.300000000000004</v>
      </c>
      <c r="M19" s="85"/>
    </row>
    <row r="20" spans="2:13" s="86" customFormat="1" x14ac:dyDescent="0.25">
      <c r="B20" s="742">
        <v>17</v>
      </c>
      <c r="C20" s="256">
        <v>4</v>
      </c>
      <c r="D20" s="258" t="s">
        <v>195</v>
      </c>
      <c r="E20" s="90">
        <v>212.88</v>
      </c>
      <c r="F20" s="90">
        <f t="shared" si="7"/>
        <v>851.52</v>
      </c>
      <c r="G20" s="90">
        <v>179.96</v>
      </c>
      <c r="H20" s="90">
        <f t="shared" si="6"/>
        <v>719.84</v>
      </c>
      <c r="I20" s="90">
        <v>145</v>
      </c>
      <c r="J20" s="90">
        <f t="shared" si="2"/>
        <v>580</v>
      </c>
      <c r="K20" s="90">
        <v>214.68</v>
      </c>
      <c r="L20" s="91">
        <f t="shared" si="3"/>
        <v>858.72</v>
      </c>
      <c r="M20" s="85"/>
    </row>
    <row r="21" spans="2:13" s="86" customFormat="1" x14ac:dyDescent="0.25">
      <c r="B21" s="742">
        <v>18</v>
      </c>
      <c r="C21" s="256">
        <v>1</v>
      </c>
      <c r="D21" s="258" t="s">
        <v>196</v>
      </c>
      <c r="E21" s="90">
        <v>225.78</v>
      </c>
      <c r="F21" s="90">
        <f>+E21*C21</f>
        <v>225.78</v>
      </c>
      <c r="G21" s="90">
        <v>260.75</v>
      </c>
      <c r="H21" s="90">
        <f>+G21*C21</f>
        <v>260.75</v>
      </c>
      <c r="I21" s="90">
        <v>190</v>
      </c>
      <c r="J21" s="90">
        <f t="shared" si="2"/>
        <v>190</v>
      </c>
      <c r="K21" s="90">
        <v>244.91</v>
      </c>
      <c r="L21" s="91">
        <f t="shared" si="3"/>
        <v>244.91</v>
      </c>
      <c r="M21" s="85"/>
    </row>
    <row r="22" spans="2:13" s="86" customFormat="1" x14ac:dyDescent="0.25">
      <c r="B22" s="742">
        <v>19</v>
      </c>
      <c r="C22" s="256">
        <v>4</v>
      </c>
      <c r="D22" s="258" t="s">
        <v>197</v>
      </c>
      <c r="E22" s="90">
        <v>135</v>
      </c>
      <c r="F22" s="90">
        <f t="shared" ref="F22:F31" si="8">+E22*C22</f>
        <v>540</v>
      </c>
      <c r="G22" s="90">
        <v>96.17</v>
      </c>
      <c r="H22" s="90">
        <f>+G22*C22</f>
        <v>384.68</v>
      </c>
      <c r="I22" s="90">
        <v>132</v>
      </c>
      <c r="J22" s="90">
        <f t="shared" si="2"/>
        <v>528</v>
      </c>
      <c r="K22" s="90">
        <v>88.45</v>
      </c>
      <c r="L22" s="91">
        <f t="shared" si="3"/>
        <v>353.8</v>
      </c>
      <c r="M22" s="85"/>
    </row>
    <row r="23" spans="2:13" s="86" customFormat="1" x14ac:dyDescent="0.25">
      <c r="B23" s="742">
        <v>20</v>
      </c>
      <c r="C23" s="256">
        <v>6</v>
      </c>
      <c r="D23" s="258" t="s">
        <v>200</v>
      </c>
      <c r="E23" s="90">
        <v>24.3</v>
      </c>
      <c r="F23" s="90">
        <f t="shared" si="8"/>
        <v>145.80000000000001</v>
      </c>
      <c r="G23" s="90">
        <v>14.95</v>
      </c>
      <c r="H23" s="90">
        <f t="shared" ref="H23:H32" si="9">+G23*C23</f>
        <v>89.699999999999989</v>
      </c>
      <c r="I23" s="90">
        <v>14.98</v>
      </c>
      <c r="J23" s="90">
        <f t="shared" si="2"/>
        <v>89.88</v>
      </c>
      <c r="K23" s="90">
        <v>38.01</v>
      </c>
      <c r="L23" s="91">
        <f t="shared" si="3"/>
        <v>228.06</v>
      </c>
      <c r="M23" s="85"/>
    </row>
    <row r="24" spans="2:13" s="86" customFormat="1" x14ac:dyDescent="0.25">
      <c r="B24" s="742">
        <v>21</v>
      </c>
      <c r="C24" s="256">
        <v>2</v>
      </c>
      <c r="D24" s="258" t="s">
        <v>201</v>
      </c>
      <c r="E24" s="90">
        <v>99.5</v>
      </c>
      <c r="F24" s="90">
        <f t="shared" si="8"/>
        <v>199</v>
      </c>
      <c r="G24" s="90">
        <v>104.87</v>
      </c>
      <c r="H24" s="90">
        <f t="shared" si="9"/>
        <v>209.74</v>
      </c>
      <c r="I24" s="90">
        <v>73</v>
      </c>
      <c r="J24" s="90">
        <f t="shared" si="2"/>
        <v>146</v>
      </c>
      <c r="K24" s="90">
        <v>105.48</v>
      </c>
      <c r="L24" s="91">
        <f t="shared" si="3"/>
        <v>210.96</v>
      </c>
      <c r="M24" s="85"/>
    </row>
    <row r="25" spans="2:13" s="86" customFormat="1" x14ac:dyDescent="0.25">
      <c r="B25" s="742">
        <v>22</v>
      </c>
      <c r="C25" s="256">
        <v>2</v>
      </c>
      <c r="D25" s="259" t="s">
        <v>182</v>
      </c>
      <c r="E25" s="90">
        <v>1273.75</v>
      </c>
      <c r="F25" s="90">
        <f t="shared" si="8"/>
        <v>2547.5</v>
      </c>
      <c r="G25" s="90">
        <v>1445</v>
      </c>
      <c r="H25" s="90">
        <f t="shared" si="9"/>
        <v>2890</v>
      </c>
      <c r="I25" s="90">
        <v>1415</v>
      </c>
      <c r="J25" s="90">
        <f t="shared" si="2"/>
        <v>2830</v>
      </c>
      <c r="K25" s="90">
        <v>1493.25</v>
      </c>
      <c r="L25" s="91">
        <f>+K25*$C25</f>
        <v>2986.5</v>
      </c>
      <c r="M25" s="85"/>
    </row>
    <row r="26" spans="2:13" s="86" customFormat="1" x14ac:dyDescent="0.25">
      <c r="B26" s="742">
        <v>23</v>
      </c>
      <c r="C26" s="256">
        <v>8</v>
      </c>
      <c r="D26" s="258" t="s">
        <v>183</v>
      </c>
      <c r="E26" s="90">
        <v>24.25</v>
      </c>
      <c r="F26" s="90">
        <f t="shared" si="8"/>
        <v>194</v>
      </c>
      <c r="G26" s="90">
        <v>22.05</v>
      </c>
      <c r="H26" s="90">
        <f t="shared" si="9"/>
        <v>176.4</v>
      </c>
      <c r="I26" s="90">
        <v>19.13</v>
      </c>
      <c r="J26" s="90">
        <f t="shared" si="2"/>
        <v>153.04</v>
      </c>
      <c r="K26" s="90">
        <v>27.82</v>
      </c>
      <c r="L26" s="91">
        <f t="shared" si="3"/>
        <v>222.56</v>
      </c>
      <c r="M26" s="85"/>
    </row>
    <row r="27" spans="2:13" s="86" customFormat="1" x14ac:dyDescent="0.25">
      <c r="B27" s="742">
        <v>24</v>
      </c>
      <c r="C27" s="256">
        <v>3</v>
      </c>
      <c r="D27" s="259" t="s">
        <v>519</v>
      </c>
      <c r="E27" s="90">
        <f>114.12/C27</f>
        <v>38.04</v>
      </c>
      <c r="F27" s="90">
        <f>+E27*C27</f>
        <v>114.12</v>
      </c>
      <c r="G27" s="90">
        <v>10</v>
      </c>
      <c r="H27" s="90">
        <f t="shared" si="9"/>
        <v>30</v>
      </c>
      <c r="I27" s="90">
        <v>8.5</v>
      </c>
      <c r="J27" s="90">
        <f t="shared" si="2"/>
        <v>25.5</v>
      </c>
      <c r="K27" s="90">
        <v>11.63</v>
      </c>
      <c r="L27" s="91">
        <f t="shared" si="3"/>
        <v>34.89</v>
      </c>
      <c r="M27" s="85"/>
    </row>
    <row r="28" spans="2:13" s="86" customFormat="1" x14ac:dyDescent="0.25">
      <c r="B28" s="742">
        <v>25</v>
      </c>
      <c r="C28" s="256">
        <v>12</v>
      </c>
      <c r="D28" s="258" t="s">
        <v>185</v>
      </c>
      <c r="E28" s="90">
        <v>12.75</v>
      </c>
      <c r="F28" s="90">
        <f t="shared" si="8"/>
        <v>153</v>
      </c>
      <c r="G28" s="90">
        <v>11.55</v>
      </c>
      <c r="H28" s="90">
        <f t="shared" si="9"/>
        <v>138.60000000000002</v>
      </c>
      <c r="I28" s="90">
        <v>12.5</v>
      </c>
      <c r="J28" s="90">
        <f t="shared" si="2"/>
        <v>150</v>
      </c>
      <c r="K28" s="90">
        <v>11.62</v>
      </c>
      <c r="L28" s="91">
        <f t="shared" si="3"/>
        <v>139.44</v>
      </c>
      <c r="M28" s="85"/>
    </row>
    <row r="29" spans="2:13" s="86" customFormat="1" x14ac:dyDescent="0.25">
      <c r="B29" s="742">
        <v>26</v>
      </c>
      <c r="C29" s="256">
        <v>24</v>
      </c>
      <c r="D29" s="259" t="s">
        <v>520</v>
      </c>
      <c r="E29" s="90">
        <v>1.05</v>
      </c>
      <c r="F29" s="90">
        <f t="shared" si="8"/>
        <v>25.200000000000003</v>
      </c>
      <c r="G29" s="90">
        <v>2</v>
      </c>
      <c r="H29" s="90">
        <f t="shared" si="9"/>
        <v>48</v>
      </c>
      <c r="I29" s="90">
        <f>30.08/C29</f>
        <v>1.2533333333333332</v>
      </c>
      <c r="J29" s="90">
        <f t="shared" si="2"/>
        <v>30.08</v>
      </c>
      <c r="K29" s="90">
        <v>53.43</v>
      </c>
      <c r="L29" s="91">
        <f t="shared" si="3"/>
        <v>1282.32</v>
      </c>
      <c r="M29" s="85"/>
    </row>
    <row r="30" spans="2:13" s="86" customFormat="1" x14ac:dyDescent="0.25">
      <c r="B30" s="742">
        <v>27</v>
      </c>
      <c r="C30" s="261">
        <v>24</v>
      </c>
      <c r="D30" s="262" t="s">
        <v>521</v>
      </c>
      <c r="E30" s="95">
        <v>5.22</v>
      </c>
      <c r="F30" s="95">
        <f t="shared" si="8"/>
        <v>125.28</v>
      </c>
      <c r="G30" s="95">
        <v>4.4000000000000004</v>
      </c>
      <c r="H30" s="90">
        <f t="shared" si="9"/>
        <v>105.60000000000001</v>
      </c>
      <c r="I30" s="95">
        <f>192/C30</f>
        <v>8</v>
      </c>
      <c r="J30" s="90">
        <f t="shared" si="2"/>
        <v>192</v>
      </c>
      <c r="K30" s="95">
        <v>20.95</v>
      </c>
      <c r="L30" s="91">
        <f t="shared" si="3"/>
        <v>502.79999999999995</v>
      </c>
      <c r="M30" s="85"/>
    </row>
    <row r="31" spans="2:13" s="86" customFormat="1" x14ac:dyDescent="0.25">
      <c r="B31" s="742">
        <v>28</v>
      </c>
      <c r="C31" s="261">
        <v>12</v>
      </c>
      <c r="D31" s="262" t="s">
        <v>187</v>
      </c>
      <c r="E31" s="95">
        <v>29.5</v>
      </c>
      <c r="F31" s="95">
        <f t="shared" si="8"/>
        <v>354</v>
      </c>
      <c r="G31" s="95">
        <v>37.68</v>
      </c>
      <c r="H31" s="90">
        <f t="shared" si="9"/>
        <v>452.15999999999997</v>
      </c>
      <c r="I31" s="95">
        <v>31.5</v>
      </c>
      <c r="J31" s="90">
        <f t="shared" si="2"/>
        <v>378</v>
      </c>
      <c r="K31" s="95">
        <v>51.89</v>
      </c>
      <c r="L31" s="91">
        <f t="shared" si="3"/>
        <v>622.68000000000006</v>
      </c>
      <c r="M31" s="85"/>
    </row>
    <row r="32" spans="2:13" s="86" customFormat="1" ht="13.5" thickBot="1" x14ac:dyDescent="0.3">
      <c r="B32" s="742">
        <v>29</v>
      </c>
      <c r="C32" s="261">
        <v>12</v>
      </c>
      <c r="D32" s="262" t="s">
        <v>522</v>
      </c>
      <c r="E32" s="95">
        <v>8.65</v>
      </c>
      <c r="F32" s="95">
        <f t="shared" si="7"/>
        <v>103.80000000000001</v>
      </c>
      <c r="G32" s="95">
        <v>72.8</v>
      </c>
      <c r="H32" s="90">
        <f t="shared" si="9"/>
        <v>873.59999999999991</v>
      </c>
      <c r="I32" s="95">
        <v>12.17</v>
      </c>
      <c r="J32" s="90">
        <f t="shared" si="2"/>
        <v>146.04</v>
      </c>
      <c r="K32" s="95">
        <v>18.36</v>
      </c>
      <c r="L32" s="91">
        <f t="shared" si="3"/>
        <v>220.32</v>
      </c>
      <c r="M32" s="85"/>
    </row>
    <row r="33" spans="2:12" x14ac:dyDescent="0.25">
      <c r="B33" s="1138" t="s">
        <v>4</v>
      </c>
      <c r="C33" s="1139"/>
      <c r="D33" s="1139"/>
      <c r="E33" s="1140">
        <f>SUM(F4:F32)</f>
        <v>25353.949999999993</v>
      </c>
      <c r="F33" s="1140"/>
      <c r="G33" s="1140">
        <f>SUM(H4:H32)</f>
        <v>26765.499999999996</v>
      </c>
      <c r="H33" s="1140"/>
      <c r="I33" s="1293">
        <f>SUM(J4:J32)</f>
        <v>22473.060000000005</v>
      </c>
      <c r="J33" s="1293"/>
      <c r="K33" s="1140">
        <f>SUM(L4:L32)</f>
        <v>27106.430000000004</v>
      </c>
      <c r="L33" s="1141"/>
    </row>
    <row r="34" spans="2:12" x14ac:dyDescent="0.25">
      <c r="B34" s="1149" t="s">
        <v>2</v>
      </c>
      <c r="C34" s="1150"/>
      <c r="D34" s="1150"/>
      <c r="E34" s="1151">
        <v>3362.46</v>
      </c>
      <c r="F34" s="1151"/>
      <c r="G34" s="1151">
        <v>3586.26</v>
      </c>
      <c r="H34" s="1151"/>
      <c r="I34" s="1151">
        <v>3112.7</v>
      </c>
      <c r="J34" s="1151"/>
      <c r="K34" s="1151">
        <f>2205.89+1628.94</f>
        <v>3834.83</v>
      </c>
      <c r="L34" s="1154"/>
    </row>
    <row r="35" spans="2:12" ht="13.5" thickBot="1" x14ac:dyDescent="0.3">
      <c r="B35" s="1161" t="s">
        <v>3</v>
      </c>
      <c r="C35" s="1162"/>
      <c r="D35" s="1162"/>
      <c r="E35" s="1155">
        <f>(E33)+E34</f>
        <v>28716.409999999993</v>
      </c>
      <c r="F35" s="1155"/>
      <c r="G35" s="1155">
        <f>(G33)+G34</f>
        <v>30351.759999999995</v>
      </c>
      <c r="H35" s="1155"/>
      <c r="I35" s="1155">
        <f t="shared" ref="I35" si="10">(I33)+I34</f>
        <v>25585.760000000006</v>
      </c>
      <c r="J35" s="1155"/>
      <c r="K35" s="1155">
        <f t="shared" ref="K35" si="11">(K33)+K34</f>
        <v>30941.260000000002</v>
      </c>
      <c r="L35" s="1156"/>
    </row>
    <row r="37" spans="2:12" x14ac:dyDescent="0.25">
      <c r="F37" s="99"/>
      <c r="G37" s="99"/>
      <c r="H37" s="99"/>
      <c r="J37" s="99"/>
      <c r="L37" s="99"/>
    </row>
  </sheetData>
  <mergeCells count="21">
    <mergeCell ref="B1:L1"/>
    <mergeCell ref="B2:B3"/>
    <mergeCell ref="E2:F2"/>
    <mergeCell ref="G2:H2"/>
    <mergeCell ref="I2:J2"/>
    <mergeCell ref="K2:L2"/>
    <mergeCell ref="B34:D34"/>
    <mergeCell ref="E34:F34"/>
    <mergeCell ref="G34:H34"/>
    <mergeCell ref="I34:J34"/>
    <mergeCell ref="K34:L34"/>
    <mergeCell ref="B33:D33"/>
    <mergeCell ref="E33:F33"/>
    <mergeCell ref="G33:H33"/>
    <mergeCell ref="I33:J33"/>
    <mergeCell ref="K33:L33"/>
    <mergeCell ref="B35:D35"/>
    <mergeCell ref="E35:F35"/>
    <mergeCell ref="G35:H35"/>
    <mergeCell ref="I35:J35"/>
    <mergeCell ref="K35:L35"/>
  </mergeCells>
  <conditionalFormatting sqref="F4:F32 H5:H32">
    <cfRule type="expression" dxfId="216" priority="7">
      <formula>E4=""</formula>
    </cfRule>
  </conditionalFormatting>
  <conditionalFormatting sqref="F4:F32 H5:H32">
    <cfRule type="expression" dxfId="215" priority="8">
      <formula>E4=MIN($E4,$G4,$I4,$K4)</formula>
    </cfRule>
  </conditionalFormatting>
  <conditionalFormatting sqref="H4">
    <cfRule type="expression" dxfId="214" priority="5">
      <formula>G4=""</formula>
    </cfRule>
  </conditionalFormatting>
  <conditionalFormatting sqref="H4">
    <cfRule type="expression" dxfId="213" priority="6">
      <formula>G4=MIN($E4,$G4,$I4,$K4)</formula>
    </cfRule>
  </conditionalFormatting>
  <conditionalFormatting sqref="J4:J32">
    <cfRule type="expression" dxfId="212" priority="3">
      <formula>I4=""</formula>
    </cfRule>
  </conditionalFormatting>
  <conditionalFormatting sqref="J4:J32">
    <cfRule type="expression" dxfId="211" priority="4">
      <formula>I4=MIN($E4,$G4,$I4,$K4)</formula>
    </cfRule>
  </conditionalFormatting>
  <conditionalFormatting sqref="L4:L32">
    <cfRule type="expression" dxfId="210" priority="1">
      <formula>K4=""</formula>
    </cfRule>
  </conditionalFormatting>
  <conditionalFormatting sqref="L4:L32">
    <cfRule type="expression" dxfId="209" priority="2">
      <formula>K4=MIN($E4,$G4,$I4,$K4)</formula>
    </cfRule>
  </conditionalFormatting>
  <pageMargins left="0.25" right="0.25" top="0.75" bottom="0.75" header="0.3" footer="0.3"/>
  <pageSetup orientation="landscape" r:id="rId1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E3BC1-ED5F-4E1B-9EBC-EFBD6611E772}">
  <sheetPr codeName="Hoja88"/>
  <dimension ref="B2:M14"/>
  <sheetViews>
    <sheetView showGridLines="0" workbookViewId="0">
      <selection activeCell="D6" sqref="D6"/>
    </sheetView>
  </sheetViews>
  <sheetFormatPr baseColWidth="10" defaultRowHeight="15.75" x14ac:dyDescent="0.25"/>
  <cols>
    <col min="1" max="1" width="2.7109375" style="108" bestFit="1" customWidth="1"/>
    <col min="2" max="2" width="3" style="108" bestFit="1" customWidth="1"/>
    <col min="3" max="3" width="6.28515625" style="108" bestFit="1" customWidth="1"/>
    <col min="4" max="4" width="18.140625" style="108" bestFit="1" customWidth="1"/>
    <col min="5" max="5" width="11.140625" style="108" bestFit="1" customWidth="1"/>
    <col min="6" max="6" width="14" style="108" bestFit="1" customWidth="1"/>
    <col min="7" max="7" width="11.140625" style="108" bestFit="1" customWidth="1"/>
    <col min="8" max="8" width="12.85546875" style="108" bestFit="1" customWidth="1"/>
    <col min="9" max="9" width="11.140625" style="108" bestFit="1" customWidth="1"/>
    <col min="10" max="10" width="14" style="108" bestFit="1" customWidth="1"/>
    <col min="11" max="11" width="11.140625" style="108" bestFit="1" customWidth="1"/>
    <col min="12" max="12" width="12.85546875" style="108" bestFit="1" customWidth="1"/>
    <col min="13" max="13" width="13.42578125" style="109" bestFit="1" customWidth="1"/>
    <col min="14" max="14" width="13.42578125" style="108" bestFit="1" customWidth="1"/>
    <col min="15" max="16384" width="11.42578125" style="108"/>
  </cols>
  <sheetData>
    <row r="2" spans="2:13" ht="16.5" thickBot="1" x14ac:dyDescent="0.3"/>
    <row r="3" spans="2:13" s="34" customFormat="1" ht="16.5" thickBot="1" x14ac:dyDescent="0.3">
      <c r="B3" s="1178" t="s">
        <v>1</v>
      </c>
      <c r="C3" s="1179"/>
      <c r="D3" s="1179"/>
      <c r="E3" s="1180"/>
      <c r="F3" s="1180"/>
      <c r="G3" s="1180"/>
      <c r="H3" s="1180"/>
      <c r="I3" s="1180"/>
      <c r="J3" s="1180"/>
      <c r="K3" s="1180"/>
      <c r="L3" s="1181"/>
      <c r="M3" s="35"/>
    </row>
    <row r="4" spans="2:13" s="34" customFormat="1" ht="16.5" thickBot="1" x14ac:dyDescent="0.3">
      <c r="B4" s="1182" t="s">
        <v>6</v>
      </c>
      <c r="C4" s="110" t="s">
        <v>17</v>
      </c>
      <c r="D4" s="111" t="s">
        <v>507</v>
      </c>
      <c r="E4" s="1184" t="s">
        <v>120</v>
      </c>
      <c r="F4" s="1102"/>
      <c r="G4" s="1100" t="s">
        <v>525</v>
      </c>
      <c r="H4" s="1102"/>
      <c r="I4" s="1100" t="s">
        <v>21</v>
      </c>
      <c r="J4" s="1102"/>
      <c r="K4" s="1100" t="s">
        <v>20</v>
      </c>
      <c r="L4" s="1102"/>
      <c r="M4" s="35"/>
    </row>
    <row r="5" spans="2:13" s="34" customFormat="1" ht="16.5" thickBot="1" x14ac:dyDescent="0.3">
      <c r="B5" s="1183"/>
      <c r="C5" s="112" t="s">
        <v>11</v>
      </c>
      <c r="D5" s="113" t="s">
        <v>0</v>
      </c>
      <c r="E5" s="114" t="s">
        <v>14</v>
      </c>
      <c r="F5" s="745" t="s">
        <v>10</v>
      </c>
      <c r="G5" s="114" t="s">
        <v>14</v>
      </c>
      <c r="H5" s="745" t="s">
        <v>10</v>
      </c>
      <c r="I5" s="114" t="s">
        <v>14</v>
      </c>
      <c r="J5" s="745" t="s">
        <v>10</v>
      </c>
      <c r="K5" s="114" t="s">
        <v>14</v>
      </c>
      <c r="L5" s="750" t="s">
        <v>10</v>
      </c>
      <c r="M5" s="35"/>
    </row>
    <row r="6" spans="2:13" s="124" customFormat="1" x14ac:dyDescent="0.25">
      <c r="B6" s="117">
        <v>1</v>
      </c>
      <c r="C6" s="118">
        <v>28</v>
      </c>
      <c r="D6" s="119" t="s">
        <v>420</v>
      </c>
      <c r="E6" s="120">
        <f>11.2947*TC!C3</f>
        <v>403.16205756000005</v>
      </c>
      <c r="F6" s="121">
        <f>+E6*$C6</f>
        <v>11288.537611680002</v>
      </c>
      <c r="G6" s="120">
        <v>342</v>
      </c>
      <c r="H6" s="121">
        <f>+G6*$C6</f>
        <v>9576</v>
      </c>
      <c r="I6" s="120" t="s">
        <v>36</v>
      </c>
      <c r="J6" s="121" t="s">
        <v>36</v>
      </c>
      <c r="K6" s="120">
        <f>8.09*TC!C3</f>
        <v>288.77093200000002</v>
      </c>
      <c r="L6" s="122">
        <f>+K6*$C6</f>
        <v>8085.5860960000009</v>
      </c>
      <c r="M6" s="123"/>
    </row>
    <row r="7" spans="2:13" s="124" customFormat="1" x14ac:dyDescent="0.25">
      <c r="B7" s="125">
        <v>2</v>
      </c>
      <c r="C7" s="126">
        <v>20</v>
      </c>
      <c r="D7" s="127" t="s">
        <v>524</v>
      </c>
      <c r="E7" s="128">
        <f>8.556*TC!C3</f>
        <v>305.40470879999998</v>
      </c>
      <c r="F7" s="121">
        <f t="shared" ref="F7:F8" si="0">+E7*$C7</f>
        <v>6108.0941759999996</v>
      </c>
      <c r="G7" s="128" t="s">
        <v>36</v>
      </c>
      <c r="H7" s="121" t="s">
        <v>36</v>
      </c>
      <c r="I7" s="128">
        <v>598.36</v>
      </c>
      <c r="J7" s="121">
        <f>+I7*C7</f>
        <v>11967.2</v>
      </c>
      <c r="K7" s="128" t="s">
        <v>36</v>
      </c>
      <c r="L7" s="122" t="s">
        <v>36</v>
      </c>
      <c r="M7" s="123"/>
    </row>
    <row r="8" spans="2:13" s="124" customFormat="1" ht="16.5" thickBot="1" x14ac:dyDescent="0.3">
      <c r="B8" s="125">
        <v>3</v>
      </c>
      <c r="C8" s="126">
        <v>4</v>
      </c>
      <c r="D8" s="127" t="s">
        <v>508</v>
      </c>
      <c r="E8" s="128">
        <f>5.8628*TC!C3</f>
        <v>209.27147343999999</v>
      </c>
      <c r="F8" s="121">
        <f t="shared" si="0"/>
        <v>837.08589375999998</v>
      </c>
      <c r="G8" s="128">
        <v>360</v>
      </c>
      <c r="H8" s="121">
        <f t="shared" ref="H8" si="1">+G8*$C8</f>
        <v>1440</v>
      </c>
      <c r="I8" s="128" t="s">
        <v>36</v>
      </c>
      <c r="J8" s="121" t="s">
        <v>36</v>
      </c>
      <c r="K8" s="128" t="s">
        <v>36</v>
      </c>
      <c r="L8" s="122" t="s">
        <v>36</v>
      </c>
      <c r="M8" s="123"/>
    </row>
    <row r="9" spans="2:13" x14ac:dyDescent="0.25">
      <c r="B9" s="1094" t="s">
        <v>4</v>
      </c>
      <c r="C9" s="1095"/>
      <c r="D9" s="1185"/>
      <c r="E9" s="1186">
        <f>SUM(F6:F8)</f>
        <v>18233.717681440001</v>
      </c>
      <c r="F9" s="1187"/>
      <c r="G9" s="1186">
        <f>SUM(H6:H8)</f>
        <v>11016</v>
      </c>
      <c r="H9" s="1187"/>
      <c r="I9" s="1186">
        <f>SUM(J6:J8)</f>
        <v>11967.2</v>
      </c>
      <c r="J9" s="1187"/>
      <c r="K9" s="1186">
        <f>SUM(L6:L8)</f>
        <v>8085.5860960000009</v>
      </c>
      <c r="L9" s="1188"/>
    </row>
    <row r="10" spans="2:13" x14ac:dyDescent="0.25">
      <c r="B10" s="1096" t="s">
        <v>5</v>
      </c>
      <c r="C10" s="1097"/>
      <c r="D10" s="1195"/>
      <c r="E10" s="1176">
        <v>0</v>
      </c>
      <c r="F10" s="1196"/>
      <c r="G10" s="1176">
        <v>0</v>
      </c>
      <c r="H10" s="1196"/>
      <c r="I10" s="1176">
        <v>0</v>
      </c>
      <c r="J10" s="1196"/>
      <c r="K10" s="1176">
        <v>0</v>
      </c>
      <c r="L10" s="1177"/>
    </row>
    <row r="11" spans="2:13" x14ac:dyDescent="0.25">
      <c r="B11" s="1199" t="s">
        <v>2</v>
      </c>
      <c r="C11" s="1200"/>
      <c r="D11" s="1201"/>
      <c r="E11" s="1176">
        <f>(E9-E10)*15%</f>
        <v>2735.057652216</v>
      </c>
      <c r="F11" s="1196"/>
      <c r="G11" s="1176">
        <f>(G9-G10)*15%</f>
        <v>1652.3999999999999</v>
      </c>
      <c r="H11" s="1196"/>
      <c r="I11" s="1176">
        <f>(I9-I10)*15%</f>
        <v>1795.0800000000002</v>
      </c>
      <c r="J11" s="1196"/>
      <c r="K11" s="1176">
        <f>(K9-K10)*15%</f>
        <v>1212.8379144</v>
      </c>
      <c r="L11" s="1177"/>
    </row>
    <row r="12" spans="2:13" ht="16.5" thickBot="1" x14ac:dyDescent="0.3">
      <c r="B12" s="1189" t="s">
        <v>3</v>
      </c>
      <c r="C12" s="1190"/>
      <c r="D12" s="1191"/>
      <c r="E12" s="1192">
        <f>(E9-E10)+E11</f>
        <v>20968.775333656002</v>
      </c>
      <c r="F12" s="1193"/>
      <c r="G12" s="1192">
        <f>(G9-G10)+G11</f>
        <v>12668.4</v>
      </c>
      <c r="H12" s="1193"/>
      <c r="I12" s="1192">
        <f>(I9-I10)+I11</f>
        <v>13762.28</v>
      </c>
      <c r="J12" s="1193"/>
      <c r="K12" s="1192">
        <f>(K9-K10)+K11</f>
        <v>9298.4240104000019</v>
      </c>
      <c r="L12" s="1194"/>
    </row>
    <row r="14" spans="2:13" x14ac:dyDescent="0.25">
      <c r="F14" s="129"/>
      <c r="G14" s="129"/>
      <c r="H14" s="129"/>
      <c r="I14" s="129"/>
      <c r="J14" s="129"/>
      <c r="L14" s="129"/>
    </row>
  </sheetData>
  <mergeCells count="26">
    <mergeCell ref="B12:D12"/>
    <mergeCell ref="E12:F12"/>
    <mergeCell ref="G12:H12"/>
    <mergeCell ref="K12:L12"/>
    <mergeCell ref="I4:J4"/>
    <mergeCell ref="I9:J9"/>
    <mergeCell ref="I10:J10"/>
    <mergeCell ref="I11:J11"/>
    <mergeCell ref="I12:J12"/>
    <mergeCell ref="B10:D10"/>
    <mergeCell ref="E10:F10"/>
    <mergeCell ref="G10:H10"/>
    <mergeCell ref="K10:L10"/>
    <mergeCell ref="B11:D11"/>
    <mergeCell ref="E11:F11"/>
    <mergeCell ref="G11:H11"/>
    <mergeCell ref="K11:L11"/>
    <mergeCell ref="B3:L3"/>
    <mergeCell ref="B4:B5"/>
    <mergeCell ref="E4:F4"/>
    <mergeCell ref="G4:H4"/>
    <mergeCell ref="K4:L4"/>
    <mergeCell ref="B9:D9"/>
    <mergeCell ref="E9:F9"/>
    <mergeCell ref="G9:H9"/>
    <mergeCell ref="K9:L9"/>
  </mergeCells>
  <conditionalFormatting sqref="F6:F8 H6:H8 L6:L8">
    <cfRule type="expression" dxfId="208" priority="9">
      <formula>E6=""</formula>
    </cfRule>
    <cfRule type="expression" dxfId="207" priority="10">
      <formula>E6=MIN($E6,$G6,$K6)</formula>
    </cfRule>
  </conditionalFormatting>
  <conditionalFormatting sqref="J6:J8">
    <cfRule type="expression" dxfId="206" priority="1">
      <formula>I6=""</formula>
    </cfRule>
    <cfRule type="expression" dxfId="205" priority="2">
      <formula>I6=MIN($E6,$G6,$K6)</formula>
    </cfRule>
  </conditionalFormatting>
  <pageMargins left="0.25" right="0.25" top="0.75" bottom="0.75" header="0.3" footer="0.3"/>
  <pageSetup orientation="landscape" r:id="rId1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68792-8C39-405D-9EF5-6CB6644D0D8A}">
  <sheetPr codeName="Hoja89"/>
  <dimension ref="B2:H10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19.7109375" style="1" bestFit="1" customWidth="1"/>
    <col min="5" max="7" width="14.140625" style="1" bestFit="1" customWidth="1"/>
    <col min="8" max="8" width="13.42578125" style="5" bestFit="1" customWidth="1"/>
    <col min="9" max="9" width="13.42578125" style="1" bestFit="1" customWidth="1"/>
    <col min="10" max="16384" width="11.42578125" style="1"/>
  </cols>
  <sheetData>
    <row r="2" spans="2:8" ht="18" thickBot="1" x14ac:dyDescent="0.35"/>
    <row r="3" spans="2:8" s="2" customFormat="1" ht="18" thickBot="1" x14ac:dyDescent="0.35">
      <c r="B3" s="1211" t="s">
        <v>1</v>
      </c>
      <c r="C3" s="1212"/>
      <c r="D3" s="1212"/>
      <c r="E3" s="1213"/>
      <c r="F3" s="1213"/>
      <c r="G3" s="1214"/>
      <c r="H3" s="6"/>
    </row>
    <row r="4" spans="2:8" s="2" customFormat="1" ht="18" thickBot="1" x14ac:dyDescent="0.3">
      <c r="B4" s="1215" t="s">
        <v>6</v>
      </c>
      <c r="C4" s="29" t="s">
        <v>17</v>
      </c>
      <c r="D4" s="328" t="s">
        <v>526</v>
      </c>
      <c r="E4" s="32" t="s">
        <v>21</v>
      </c>
      <c r="F4" s="747" t="s">
        <v>18</v>
      </c>
      <c r="G4" s="747" t="s">
        <v>19</v>
      </c>
      <c r="H4" s="6"/>
    </row>
    <row r="5" spans="2:8" s="2" customFormat="1" ht="18" thickBot="1" x14ac:dyDescent="0.3">
      <c r="B5" s="1216"/>
      <c r="C5" s="33" t="s">
        <v>11</v>
      </c>
      <c r="D5" s="21" t="s">
        <v>0</v>
      </c>
      <c r="E5" s="748" t="s">
        <v>10</v>
      </c>
      <c r="F5" s="748" t="s">
        <v>10</v>
      </c>
      <c r="G5" s="32" t="s">
        <v>10</v>
      </c>
      <c r="H5" s="6"/>
    </row>
    <row r="6" spans="2:8" s="3" customFormat="1" ht="18" thickBot="1" x14ac:dyDescent="0.35">
      <c r="B6" s="266">
        <v>1</v>
      </c>
      <c r="C6" s="329">
        <v>1</v>
      </c>
      <c r="D6" s="330" t="s">
        <v>527</v>
      </c>
      <c r="E6" s="318">
        <v>1833.22</v>
      </c>
      <c r="F6" s="318">
        <f>39.31*TC!C3</f>
        <v>1403.1625880000001</v>
      </c>
      <c r="G6" s="319">
        <f>53*TC!C3</f>
        <v>1891.8244</v>
      </c>
      <c r="H6" s="7"/>
    </row>
    <row r="7" spans="2:8" x14ac:dyDescent="0.3">
      <c r="B7" s="1357" t="s">
        <v>2</v>
      </c>
      <c r="C7" s="1358"/>
      <c r="D7" s="1358"/>
      <c r="E7" s="746">
        <f>+E6*0.15</f>
        <v>274.983</v>
      </c>
      <c r="F7" s="746">
        <f t="shared" ref="F7:G7" si="0">+F6*0.15</f>
        <v>210.47438820000002</v>
      </c>
      <c r="G7" s="746">
        <f t="shared" si="0"/>
        <v>283.77366000000001</v>
      </c>
    </row>
    <row r="8" spans="2:8" ht="18" thickBot="1" x14ac:dyDescent="0.35">
      <c r="B8" s="1202" t="s">
        <v>3</v>
      </c>
      <c r="C8" s="1203"/>
      <c r="D8" s="1203"/>
      <c r="E8" s="749">
        <f>+E6+E7</f>
        <v>2108.203</v>
      </c>
      <c r="F8" s="749">
        <f t="shared" ref="F8:G8" si="1">+F6+F7</f>
        <v>1613.6369762000002</v>
      </c>
      <c r="G8" s="749">
        <f t="shared" si="1"/>
        <v>2175.5980599999998</v>
      </c>
    </row>
    <row r="10" spans="2:8" x14ac:dyDescent="0.3">
      <c r="E10" s="4"/>
      <c r="F10" s="4"/>
      <c r="G10" s="4"/>
    </row>
  </sheetData>
  <mergeCells count="4">
    <mergeCell ref="B8:D8"/>
    <mergeCell ref="B7:D7"/>
    <mergeCell ref="B3:G3"/>
    <mergeCell ref="B4:B5"/>
  </mergeCells>
  <conditionalFormatting sqref="E6:G6">
    <cfRule type="expression" dxfId="204" priority="212">
      <formula>#REF!=""</formula>
    </cfRule>
    <cfRule type="expression" dxfId="203" priority="213">
      <formula>#REF!=MIN(#REF!,#REF!,#REF!)</formula>
    </cfRule>
  </conditionalFormatting>
  <pageMargins left="0.25" right="0.25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10F11-39B1-4DC9-AF34-CDF0CABFCA81}">
  <sheetPr codeName="Hoja9"/>
  <dimension ref="B2:K12"/>
  <sheetViews>
    <sheetView showGridLines="0" workbookViewId="0">
      <selection activeCell="D6" sqref="D6"/>
    </sheetView>
  </sheetViews>
  <sheetFormatPr baseColWidth="10" defaultRowHeight="17.25" x14ac:dyDescent="0.3"/>
  <cols>
    <col min="1" max="1" width="2.7109375" style="1" bestFit="1" customWidth="1"/>
    <col min="2" max="2" width="3.42578125" style="1" bestFit="1" customWidth="1"/>
    <col min="3" max="3" width="6.7109375" style="1" bestFit="1" customWidth="1"/>
    <col min="4" max="4" width="20.85546875" style="1" bestFit="1" customWidth="1"/>
    <col min="5" max="5" width="14.140625" style="1" bestFit="1" customWidth="1"/>
    <col min="6" max="6" width="15.42578125" style="1" bestFit="1" customWidth="1"/>
    <col min="7" max="7" width="14.140625" style="1" bestFit="1" customWidth="1"/>
    <col min="8" max="8" width="15.42578125" style="1" bestFit="1" customWidth="1"/>
    <col min="9" max="9" width="14.140625" style="1" bestFit="1" customWidth="1"/>
    <col min="10" max="10" width="15.42578125" style="1" bestFit="1" customWidth="1"/>
    <col min="11" max="11" width="13.42578125" style="5" bestFit="1" customWidth="1"/>
    <col min="12" max="12" width="13.42578125" style="1" bestFit="1" customWidth="1"/>
    <col min="13" max="16384" width="11.42578125" style="1"/>
  </cols>
  <sheetData>
    <row r="2" spans="2:11" ht="18" thickBot="1" x14ac:dyDescent="0.35"/>
    <row r="3" spans="2:11" s="2" customFormat="1" ht="18" thickBot="1" x14ac:dyDescent="0.35">
      <c r="B3" s="1211" t="s">
        <v>1</v>
      </c>
      <c r="C3" s="1212"/>
      <c r="D3" s="1212"/>
      <c r="E3" s="1213"/>
      <c r="F3" s="1213"/>
      <c r="G3" s="1213"/>
      <c r="H3" s="1213"/>
      <c r="I3" s="1213"/>
      <c r="J3" s="1214"/>
      <c r="K3" s="6"/>
    </row>
    <row r="4" spans="2:11" s="2" customFormat="1" ht="18" thickBot="1" x14ac:dyDescent="0.3">
      <c r="B4" s="1215" t="s">
        <v>6</v>
      </c>
      <c r="C4" s="29" t="s">
        <v>17</v>
      </c>
      <c r="D4" s="30" t="s">
        <v>82</v>
      </c>
      <c r="E4" s="1252" t="s">
        <v>84</v>
      </c>
      <c r="F4" s="1251"/>
      <c r="G4" s="1248" t="s">
        <v>85</v>
      </c>
      <c r="H4" s="1251"/>
      <c r="I4" s="1248" t="s">
        <v>86</v>
      </c>
      <c r="J4" s="1251"/>
      <c r="K4" s="6"/>
    </row>
    <row r="5" spans="2:11" s="2" customFormat="1" ht="18" thickBot="1" x14ac:dyDescent="0.3">
      <c r="B5" s="1216"/>
      <c r="C5" s="33" t="s">
        <v>11</v>
      </c>
      <c r="D5" s="21" t="s">
        <v>0</v>
      </c>
      <c r="E5" s="31" t="s">
        <v>14</v>
      </c>
      <c r="F5" s="156" t="s">
        <v>10</v>
      </c>
      <c r="G5" s="31" t="s">
        <v>14</v>
      </c>
      <c r="H5" s="156" t="s">
        <v>10</v>
      </c>
      <c r="I5" s="31" t="s">
        <v>14</v>
      </c>
      <c r="J5" s="32" t="s">
        <v>10</v>
      </c>
      <c r="K5" s="6"/>
    </row>
    <row r="6" spans="2:11" s="3" customFormat="1" ht="18" thickBot="1" x14ac:dyDescent="0.35">
      <c r="B6" s="19">
        <v>1</v>
      </c>
      <c r="C6" s="16">
        <v>20</v>
      </c>
      <c r="D6" s="9" t="s">
        <v>83</v>
      </c>
      <c r="E6" s="24">
        <f>(1360/C6)*TC!C3</f>
        <v>2427.2464</v>
      </c>
      <c r="F6" s="23">
        <f>+E6*C6</f>
        <v>48544.928</v>
      </c>
      <c r="G6" s="24">
        <f>77*TC!C3</f>
        <v>2748.4996000000001</v>
      </c>
      <c r="H6" s="23">
        <f>G6*C6</f>
        <v>54969.991999999998</v>
      </c>
      <c r="I6" s="24">
        <f>34854.4/C6</f>
        <v>1742.72</v>
      </c>
      <c r="J6" s="27">
        <f>+I6*C6</f>
        <v>34854.400000000001</v>
      </c>
      <c r="K6" s="7"/>
    </row>
    <row r="7" spans="2:11" x14ac:dyDescent="0.3">
      <c r="B7" s="1217" t="s">
        <v>4</v>
      </c>
      <c r="C7" s="1218"/>
      <c r="D7" s="1219"/>
      <c r="E7" s="1245">
        <f>SUM(F6:F6)</f>
        <v>48544.928</v>
      </c>
      <c r="F7" s="1246"/>
      <c r="G7" s="1245">
        <f>SUM(H6:H6)</f>
        <v>54969.991999999998</v>
      </c>
      <c r="H7" s="1246"/>
      <c r="I7" s="1245">
        <f>SUM(J6:J6)</f>
        <v>34854.400000000001</v>
      </c>
      <c r="J7" s="1247"/>
    </row>
    <row r="8" spans="2:11" x14ac:dyDescent="0.3">
      <c r="B8" s="1205" t="s">
        <v>87</v>
      </c>
      <c r="C8" s="1206"/>
      <c r="D8" s="1207"/>
      <c r="E8" s="1242">
        <v>0</v>
      </c>
      <c r="F8" s="1243"/>
      <c r="G8" s="1242">
        <v>0</v>
      </c>
      <c r="H8" s="1243"/>
      <c r="I8" s="1242">
        <f>+I7*0.05</f>
        <v>1742.7200000000003</v>
      </c>
      <c r="J8" s="1244"/>
    </row>
    <row r="9" spans="2:11" x14ac:dyDescent="0.3">
      <c r="B9" s="1208" t="s">
        <v>2</v>
      </c>
      <c r="C9" s="1209"/>
      <c r="D9" s="1210"/>
      <c r="E9" s="1242">
        <f>(E7-E8)*15%</f>
        <v>7281.7392</v>
      </c>
      <c r="F9" s="1243"/>
      <c r="G9" s="1242">
        <f>(G7-G8)*15%</f>
        <v>8245.4987999999994</v>
      </c>
      <c r="H9" s="1243"/>
      <c r="I9" s="1242">
        <f>(I7+I8)*15%</f>
        <v>5489.5680000000002</v>
      </c>
      <c r="J9" s="1244"/>
    </row>
    <row r="10" spans="2:11" ht="18" thickBot="1" x14ac:dyDescent="0.35">
      <c r="B10" s="1202" t="s">
        <v>3</v>
      </c>
      <c r="C10" s="1203"/>
      <c r="D10" s="1204"/>
      <c r="E10" s="1253">
        <f>(E7-E8)+E9</f>
        <v>55826.667199999996</v>
      </c>
      <c r="F10" s="1254"/>
      <c r="G10" s="1253">
        <f>(G7-G8)+G9</f>
        <v>63215.4908</v>
      </c>
      <c r="H10" s="1254"/>
      <c r="I10" s="1253">
        <f>(I7+I8)+I9</f>
        <v>42086.688000000002</v>
      </c>
      <c r="J10" s="1255"/>
    </row>
    <row r="12" spans="2:11" ht="39" customHeight="1" x14ac:dyDescent="0.3">
      <c r="E12" s="1256" t="s">
        <v>88</v>
      </c>
      <c r="F12" s="1256"/>
      <c r="G12" s="4"/>
      <c r="H12" s="4"/>
      <c r="J12" s="4"/>
    </row>
  </sheetData>
  <mergeCells count="22">
    <mergeCell ref="B10:D10"/>
    <mergeCell ref="E10:F10"/>
    <mergeCell ref="G10:H10"/>
    <mergeCell ref="I10:J10"/>
    <mergeCell ref="E12:F12"/>
    <mergeCell ref="B8:D8"/>
    <mergeCell ref="E8:F8"/>
    <mergeCell ref="G8:H8"/>
    <mergeCell ref="I8:J8"/>
    <mergeCell ref="B9:D9"/>
    <mergeCell ref="E9:F9"/>
    <mergeCell ref="G9:H9"/>
    <mergeCell ref="I9:J9"/>
    <mergeCell ref="B7:D7"/>
    <mergeCell ref="E7:F7"/>
    <mergeCell ref="G7:H7"/>
    <mergeCell ref="I7:J7"/>
    <mergeCell ref="B3:J3"/>
    <mergeCell ref="B4:B5"/>
    <mergeCell ref="E4:F4"/>
    <mergeCell ref="G4:H4"/>
    <mergeCell ref="I4:J4"/>
  </mergeCells>
  <conditionalFormatting sqref="F6 H6 J6">
    <cfRule type="expression" dxfId="514" priority="5">
      <formula>E6=""</formula>
    </cfRule>
    <cfRule type="expression" dxfId="513" priority="6">
      <formula>E6=MIN($E6,$G6,$I6)</formula>
    </cfRule>
  </conditionalFormatting>
  <pageMargins left="0.25" right="0.25" top="0.75" bottom="0.75" header="0.3" footer="0.3"/>
  <pageSetup orientation="landscape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1F93F-6A4B-4DBE-96EE-614148C1FD55}">
  <sheetPr codeName="Hoja90"/>
  <dimension ref="B2:M15"/>
  <sheetViews>
    <sheetView showGridLines="0" workbookViewId="0">
      <selection activeCell="D8" sqref="D8"/>
    </sheetView>
  </sheetViews>
  <sheetFormatPr baseColWidth="10" defaultRowHeight="15.75" x14ac:dyDescent="0.25"/>
  <cols>
    <col min="1" max="1" width="2.7109375" style="34" bestFit="1" customWidth="1"/>
    <col min="2" max="2" width="3" style="34" bestFit="1" customWidth="1"/>
    <col min="3" max="3" width="6.28515625" style="34" bestFit="1" customWidth="1"/>
    <col min="4" max="4" width="16.7109375" style="34" bestFit="1" customWidth="1"/>
    <col min="5" max="5" width="11.140625" style="34" bestFit="1" customWidth="1"/>
    <col min="6" max="6" width="14" style="34" bestFit="1" customWidth="1"/>
    <col min="7" max="7" width="11.140625" style="34" bestFit="1" customWidth="1"/>
    <col min="8" max="8" width="14" style="34" bestFit="1" customWidth="1"/>
    <col min="9" max="9" width="11.140625" style="34" bestFit="1" customWidth="1"/>
    <col min="10" max="10" width="14" style="34" bestFit="1" customWidth="1"/>
    <col min="11" max="11" width="11.140625" style="34" bestFit="1" customWidth="1"/>
    <col min="12" max="12" width="14" style="34" bestFit="1" customWidth="1"/>
    <col min="13" max="13" width="13.42578125" style="35" bestFit="1" customWidth="1"/>
    <col min="14" max="14" width="13.42578125" style="34" bestFit="1" customWidth="1"/>
    <col min="15" max="16384" width="11.42578125" style="34"/>
  </cols>
  <sheetData>
    <row r="2" spans="2:13" ht="16.5" thickBot="1" x14ac:dyDescent="0.3"/>
    <row r="3" spans="2:13" ht="16.5" thickBot="1" x14ac:dyDescent="0.3">
      <c r="B3" s="1100" t="s">
        <v>1</v>
      </c>
      <c r="C3" s="1101"/>
      <c r="D3" s="1101"/>
      <c r="E3" s="1101"/>
      <c r="F3" s="1101"/>
      <c r="G3" s="1101"/>
      <c r="H3" s="1101"/>
      <c r="I3" s="1101"/>
      <c r="J3" s="1101"/>
      <c r="K3" s="1101"/>
      <c r="L3" s="1102"/>
    </row>
    <row r="4" spans="2:13" x14ac:dyDescent="0.25">
      <c r="B4" s="1434" t="s">
        <v>6</v>
      </c>
      <c r="C4" s="505" t="s">
        <v>17</v>
      </c>
      <c r="D4" s="506" t="s">
        <v>528</v>
      </c>
      <c r="E4" s="1435" t="s">
        <v>273</v>
      </c>
      <c r="F4" s="1435"/>
      <c r="G4" s="1435" t="s">
        <v>272</v>
      </c>
      <c r="H4" s="1435"/>
      <c r="I4" s="1435" t="s">
        <v>211</v>
      </c>
      <c r="J4" s="1435"/>
      <c r="K4" s="1435" t="s">
        <v>450</v>
      </c>
      <c r="L4" s="1436"/>
    </row>
    <row r="5" spans="2:13" ht="16.5" thickBot="1" x14ac:dyDescent="0.3">
      <c r="B5" s="1385"/>
      <c r="C5" s="392" t="s">
        <v>11</v>
      </c>
      <c r="D5" s="45" t="s">
        <v>0</v>
      </c>
      <c r="E5" s="45" t="s">
        <v>14</v>
      </c>
      <c r="F5" s="45" t="s">
        <v>10</v>
      </c>
      <c r="G5" s="45" t="s">
        <v>14</v>
      </c>
      <c r="H5" s="45" t="s">
        <v>10</v>
      </c>
      <c r="I5" s="45" t="s">
        <v>14</v>
      </c>
      <c r="J5" s="45" t="s">
        <v>10</v>
      </c>
      <c r="K5" s="45" t="s">
        <v>14</v>
      </c>
      <c r="L5" s="393" t="s">
        <v>10</v>
      </c>
    </row>
    <row r="6" spans="2:13" s="346" customFormat="1" x14ac:dyDescent="0.25">
      <c r="B6" s="751">
        <v>1</v>
      </c>
      <c r="C6" s="507">
        <v>72</v>
      </c>
      <c r="D6" s="508" t="s">
        <v>268</v>
      </c>
      <c r="E6" s="510">
        <v>188</v>
      </c>
      <c r="F6" s="510">
        <f>+E6*$C6</f>
        <v>13536</v>
      </c>
      <c r="G6" s="510">
        <v>175.82</v>
      </c>
      <c r="H6" s="510">
        <f>+G6*$C6</f>
        <v>12659.039999999999</v>
      </c>
      <c r="I6" s="510">
        <v>162</v>
      </c>
      <c r="J6" s="510">
        <f>+I6*$C6</f>
        <v>11664</v>
      </c>
      <c r="K6" s="510" t="s">
        <v>36</v>
      </c>
      <c r="L6" s="511" t="s">
        <v>36</v>
      </c>
      <c r="M6" s="345"/>
    </row>
    <row r="7" spans="2:13" s="346" customFormat="1" x14ac:dyDescent="0.25">
      <c r="B7" s="421">
        <v>2</v>
      </c>
      <c r="C7" s="647">
        <v>36</v>
      </c>
      <c r="D7" s="589" t="s">
        <v>393</v>
      </c>
      <c r="E7" s="648">
        <v>79</v>
      </c>
      <c r="F7" s="648">
        <f t="shared" ref="F7:F8" si="0">+E7*$C7</f>
        <v>2844</v>
      </c>
      <c r="G7" s="648">
        <v>66.2</v>
      </c>
      <c r="H7" s="648">
        <f t="shared" ref="H7:H8" si="1">+G7*$C7</f>
        <v>2383.2000000000003</v>
      </c>
      <c r="I7" s="648">
        <v>78</v>
      </c>
      <c r="J7" s="648">
        <f t="shared" ref="J7" si="2">+I7*$C7</f>
        <v>2808</v>
      </c>
      <c r="K7" s="648" t="s">
        <v>36</v>
      </c>
      <c r="L7" s="649" t="s">
        <v>36</v>
      </c>
      <c r="M7" s="345"/>
    </row>
    <row r="8" spans="2:13" s="346" customFormat="1" ht="32.25" thickBot="1" x14ac:dyDescent="0.3">
      <c r="B8" s="421">
        <v>3</v>
      </c>
      <c r="C8" s="647">
        <v>100</v>
      </c>
      <c r="D8" s="589" t="s">
        <v>449</v>
      </c>
      <c r="E8" s="648">
        <v>495</v>
      </c>
      <c r="F8" s="648">
        <f t="shared" si="0"/>
        <v>49500</v>
      </c>
      <c r="G8" s="648">
        <v>450</v>
      </c>
      <c r="H8" s="648">
        <f t="shared" si="1"/>
        <v>45000</v>
      </c>
      <c r="I8" s="648">
        <v>533.71</v>
      </c>
      <c r="J8" s="648">
        <f>+I8*C8</f>
        <v>53371</v>
      </c>
      <c r="K8" s="648">
        <v>480</v>
      </c>
      <c r="L8" s="649">
        <f>+K8*C8</f>
        <v>48000</v>
      </c>
      <c r="M8" s="345"/>
    </row>
    <row r="9" spans="2:13" x14ac:dyDescent="0.25">
      <c r="B9" s="1094" t="s">
        <v>4</v>
      </c>
      <c r="C9" s="1095"/>
      <c r="D9" s="1095"/>
      <c r="E9" s="1399">
        <f>SUM(F6:F8)</f>
        <v>65880</v>
      </c>
      <c r="F9" s="1399"/>
      <c r="G9" s="1399">
        <f>SUM(H6:H8)</f>
        <v>60042.239999999998</v>
      </c>
      <c r="H9" s="1399"/>
      <c r="I9" s="1399">
        <f>SUM(J6:J8)</f>
        <v>67843</v>
      </c>
      <c r="J9" s="1399"/>
      <c r="K9" s="1399">
        <f>SUM(L6:L8)</f>
        <v>48000</v>
      </c>
      <c r="L9" s="1403"/>
    </row>
    <row r="10" spans="2:13" x14ac:dyDescent="0.25">
      <c r="B10" s="1096" t="s">
        <v>5</v>
      </c>
      <c r="C10" s="1097"/>
      <c r="D10" s="1097"/>
      <c r="E10" s="1400">
        <v>0</v>
      </c>
      <c r="F10" s="1400"/>
      <c r="G10" s="1400">
        <v>0</v>
      </c>
      <c r="H10" s="1400"/>
      <c r="I10" s="1400">
        <v>0</v>
      </c>
      <c r="J10" s="1400"/>
      <c r="K10" s="1400">
        <v>0</v>
      </c>
      <c r="L10" s="1401"/>
    </row>
    <row r="11" spans="2:13" x14ac:dyDescent="0.25">
      <c r="B11" s="1096" t="s">
        <v>2</v>
      </c>
      <c r="C11" s="1097"/>
      <c r="D11" s="1097"/>
      <c r="E11" s="1400">
        <f>(E9-E10)*15%</f>
        <v>9882</v>
      </c>
      <c r="F11" s="1400"/>
      <c r="G11" s="1400">
        <f>(G9-G10)*15%</f>
        <v>9006.3359999999993</v>
      </c>
      <c r="H11" s="1400"/>
      <c r="I11" s="1400">
        <f>(I9-I10)*15%</f>
        <v>10176.449999999999</v>
      </c>
      <c r="J11" s="1400"/>
      <c r="K11" s="1400">
        <v>0</v>
      </c>
      <c r="L11" s="1401"/>
    </row>
    <row r="12" spans="2:13" ht="16.5" thickBot="1" x14ac:dyDescent="0.3">
      <c r="B12" s="1098" t="s">
        <v>3</v>
      </c>
      <c r="C12" s="1099"/>
      <c r="D12" s="1099"/>
      <c r="E12" s="1437">
        <f>(E9-E10)+E11</f>
        <v>75762</v>
      </c>
      <c r="F12" s="1437"/>
      <c r="G12" s="1437">
        <f>(G9-G10)+G11</f>
        <v>69048.576000000001</v>
      </c>
      <c r="H12" s="1437"/>
      <c r="I12" s="1437">
        <f>(I9-I10)+I11</f>
        <v>78019.45</v>
      </c>
      <c r="J12" s="1437"/>
      <c r="K12" s="1437">
        <f>(K9-K10)+K11</f>
        <v>48000</v>
      </c>
      <c r="L12" s="1438"/>
    </row>
    <row r="14" spans="2:13" x14ac:dyDescent="0.25">
      <c r="E14" s="1351"/>
      <c r="F14" s="1351"/>
      <c r="G14" s="40"/>
      <c r="H14" s="40"/>
      <c r="I14" s="1351" t="s">
        <v>451</v>
      </c>
      <c r="J14" s="1351"/>
      <c r="L14" s="40"/>
    </row>
    <row r="15" spans="2:13" x14ac:dyDescent="0.25">
      <c r="E15" s="1351"/>
      <c r="F15" s="1351"/>
      <c r="I15" s="1351"/>
      <c r="J15" s="1351"/>
    </row>
  </sheetData>
  <mergeCells count="28">
    <mergeCell ref="B3:L3"/>
    <mergeCell ref="B4:B5"/>
    <mergeCell ref="E4:F4"/>
    <mergeCell ref="G4:H4"/>
    <mergeCell ref="I4:J4"/>
    <mergeCell ref="K4:L4"/>
    <mergeCell ref="B10:D10"/>
    <mergeCell ref="E10:F10"/>
    <mergeCell ref="G10:H10"/>
    <mergeCell ref="I10:J10"/>
    <mergeCell ref="K10:L10"/>
    <mergeCell ref="B9:D9"/>
    <mergeCell ref="E9:F9"/>
    <mergeCell ref="G9:H9"/>
    <mergeCell ref="I9:J9"/>
    <mergeCell ref="K9:L9"/>
    <mergeCell ref="K11:L11"/>
    <mergeCell ref="B12:D12"/>
    <mergeCell ref="E12:F12"/>
    <mergeCell ref="G12:H12"/>
    <mergeCell ref="I12:J12"/>
    <mergeCell ref="K12:L12"/>
    <mergeCell ref="E14:F15"/>
    <mergeCell ref="I14:J15"/>
    <mergeCell ref="B11:D11"/>
    <mergeCell ref="E11:F11"/>
    <mergeCell ref="G11:H11"/>
    <mergeCell ref="I11:J11"/>
  </mergeCells>
  <conditionalFormatting sqref="F6:F7 H6:H8 L6:L8 J6:J8">
    <cfRule type="expression" dxfId="202" priority="3">
      <formula>E6=""</formula>
    </cfRule>
    <cfRule type="expression" dxfId="201" priority="4">
      <formula>E6=MIN($E6,$G6,$K6)</formula>
    </cfRule>
  </conditionalFormatting>
  <pageMargins left="0.25" right="0.25" top="0.75" bottom="0.75" header="0.3" footer="0.3"/>
  <pageSetup orientation="landscape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723877-77CC-43F8-8636-1395C05653A0}">
  <sheetPr codeName="Hoja91"/>
  <dimension ref="A1:O18"/>
  <sheetViews>
    <sheetView showGridLines="0" workbookViewId="0">
      <selection activeCell="C11" sqref="C11"/>
    </sheetView>
  </sheetViews>
  <sheetFormatPr baseColWidth="10" defaultRowHeight="12" x14ac:dyDescent="0.25"/>
  <cols>
    <col min="1" max="1" width="2.42578125" style="753" bestFit="1" customWidth="1"/>
    <col min="2" max="2" width="4.85546875" style="753" bestFit="1" customWidth="1"/>
    <col min="3" max="3" width="16.42578125" style="753" bestFit="1" customWidth="1"/>
    <col min="4" max="5" width="10.7109375" style="753" bestFit="1" customWidth="1"/>
    <col min="6" max="13" width="9.85546875" style="753" bestFit="1" customWidth="1"/>
    <col min="14" max="14" width="13.42578125" style="752" bestFit="1" customWidth="1"/>
    <col min="15" max="15" width="13.42578125" style="753" bestFit="1" customWidth="1"/>
    <col min="16" max="16384" width="11.42578125" style="753"/>
  </cols>
  <sheetData>
    <row r="1" spans="1:15" x14ac:dyDescent="0.25">
      <c r="A1" s="1522" t="s">
        <v>1</v>
      </c>
      <c r="B1" s="1523"/>
      <c r="C1" s="1523"/>
      <c r="D1" s="1523"/>
      <c r="E1" s="1523"/>
      <c r="F1" s="1523"/>
      <c r="G1" s="1523"/>
      <c r="H1" s="1523"/>
      <c r="I1" s="1523"/>
      <c r="J1" s="1523"/>
      <c r="K1" s="1523"/>
      <c r="L1" s="1523"/>
      <c r="M1" s="1524"/>
    </row>
    <row r="2" spans="1:15" x14ac:dyDescent="0.25">
      <c r="A2" s="1525" t="s">
        <v>6</v>
      </c>
      <c r="B2" s="754" t="s">
        <v>17</v>
      </c>
      <c r="C2" s="755" t="s">
        <v>529</v>
      </c>
      <c r="D2" s="1526" t="s">
        <v>53</v>
      </c>
      <c r="E2" s="1526"/>
      <c r="F2" s="1526" t="s">
        <v>52</v>
      </c>
      <c r="G2" s="1526"/>
      <c r="H2" s="1526" t="s">
        <v>538</v>
      </c>
      <c r="I2" s="1526"/>
      <c r="J2" s="1526" t="s">
        <v>329</v>
      </c>
      <c r="K2" s="1526"/>
      <c r="L2" s="1526" t="s">
        <v>49</v>
      </c>
      <c r="M2" s="1527"/>
    </row>
    <row r="3" spans="1:15" x14ac:dyDescent="0.25">
      <c r="A3" s="1525"/>
      <c r="B3" s="756" t="s">
        <v>11</v>
      </c>
      <c r="C3" s="757" t="s">
        <v>0</v>
      </c>
      <c r="D3" s="757" t="s">
        <v>14</v>
      </c>
      <c r="E3" s="757" t="s">
        <v>10</v>
      </c>
      <c r="F3" s="757" t="s">
        <v>14</v>
      </c>
      <c r="G3" s="757" t="s">
        <v>10</v>
      </c>
      <c r="H3" s="757" t="s">
        <v>14</v>
      </c>
      <c r="I3" s="757" t="s">
        <v>10</v>
      </c>
      <c r="J3" s="757" t="s">
        <v>14</v>
      </c>
      <c r="K3" s="757" t="s">
        <v>10</v>
      </c>
      <c r="L3" s="757" t="s">
        <v>14</v>
      </c>
      <c r="M3" s="758" t="s">
        <v>10</v>
      </c>
    </row>
    <row r="4" spans="1:15" s="765" customFormat="1" ht="24" x14ac:dyDescent="0.25">
      <c r="A4" s="759">
        <v>1</v>
      </c>
      <c r="B4" s="760">
        <v>2</v>
      </c>
      <c r="C4" s="761" t="s">
        <v>530</v>
      </c>
      <c r="D4" s="762">
        <f>(259.76/B4)*36.12</f>
        <v>4691.2655999999997</v>
      </c>
      <c r="E4" s="762">
        <f>+D4*B4</f>
        <v>9382.5311999999994</v>
      </c>
      <c r="F4" s="762">
        <f>1830.9-(1830.9*25%)</f>
        <v>1373.1750000000002</v>
      </c>
      <c r="G4" s="762">
        <f>+F4*B4</f>
        <v>2746.3500000000004</v>
      </c>
      <c r="H4" s="762">
        <v>2800</v>
      </c>
      <c r="I4" s="762">
        <f>+H4*$B4</f>
        <v>5600</v>
      </c>
      <c r="J4" s="762">
        <v>1800</v>
      </c>
      <c r="K4" s="762">
        <f>+J4*B4</f>
        <v>3600</v>
      </c>
      <c r="L4" s="762">
        <f>3695.57/B4</f>
        <v>1847.7850000000001</v>
      </c>
      <c r="M4" s="763">
        <f>+L4*$B4</f>
        <v>3695.57</v>
      </c>
      <c r="N4" s="764"/>
    </row>
    <row r="5" spans="1:15" s="765" customFormat="1" x14ac:dyDescent="0.25">
      <c r="A5" s="759">
        <v>2</v>
      </c>
      <c r="B5" s="760">
        <v>1</v>
      </c>
      <c r="C5" s="766" t="s">
        <v>531</v>
      </c>
      <c r="D5" s="762">
        <f>(131.56)*36.12</f>
        <v>4751.9471999999996</v>
      </c>
      <c r="E5" s="762">
        <f t="shared" ref="E5:E8" si="0">+D5*B5</f>
        <v>4751.9471999999996</v>
      </c>
      <c r="F5" s="762">
        <f>2147.96-(2147.96*25%)</f>
        <v>1610.97</v>
      </c>
      <c r="G5" s="762">
        <f>+F5*B5</f>
        <v>1610.97</v>
      </c>
      <c r="H5" s="762">
        <v>1100</v>
      </c>
      <c r="I5" s="762">
        <f>+H5*$B5</f>
        <v>1100</v>
      </c>
      <c r="J5" s="762">
        <v>900</v>
      </c>
      <c r="K5" s="762">
        <f t="shared" ref="K5:K11" si="1">+J5*B5</f>
        <v>900</v>
      </c>
      <c r="L5" s="762">
        <v>1095.8599999999999</v>
      </c>
      <c r="M5" s="763">
        <f>+L5*$B5</f>
        <v>1095.8599999999999</v>
      </c>
      <c r="N5" s="764"/>
    </row>
    <row r="6" spans="1:15" s="765" customFormat="1" x14ac:dyDescent="0.25">
      <c r="A6" s="759">
        <v>3</v>
      </c>
      <c r="B6" s="760">
        <v>2</v>
      </c>
      <c r="C6" s="766" t="s">
        <v>532</v>
      </c>
      <c r="D6" s="762">
        <f>(50.92/B6)*36.12</f>
        <v>919.61519999999996</v>
      </c>
      <c r="E6" s="762">
        <f t="shared" si="0"/>
        <v>1839.2303999999999</v>
      </c>
      <c r="F6" s="762" t="s">
        <v>36</v>
      </c>
      <c r="G6" s="762" t="s">
        <v>36</v>
      </c>
      <c r="H6" s="762" t="s">
        <v>36</v>
      </c>
      <c r="I6" s="762" t="s">
        <v>36</v>
      </c>
      <c r="J6" s="762">
        <v>450</v>
      </c>
      <c r="K6" s="762">
        <f t="shared" si="1"/>
        <v>900</v>
      </c>
      <c r="L6" s="762" t="s">
        <v>36</v>
      </c>
      <c r="M6" s="763" t="s">
        <v>36</v>
      </c>
      <c r="N6" s="764"/>
    </row>
    <row r="7" spans="1:15" s="765" customFormat="1" x14ac:dyDescent="0.25">
      <c r="A7" s="759">
        <v>4</v>
      </c>
      <c r="B7" s="760">
        <v>2</v>
      </c>
      <c r="C7" s="766" t="s">
        <v>533</v>
      </c>
      <c r="D7" s="762">
        <f>(396.4)*36.12</f>
        <v>14317.967999999999</v>
      </c>
      <c r="E7" s="762">
        <f t="shared" si="0"/>
        <v>28635.935999999998</v>
      </c>
      <c r="F7" s="762">
        <f>5375.25-(5375.25*25%)</f>
        <v>4031.4375</v>
      </c>
      <c r="G7" s="762">
        <f t="shared" ref="G7:G8" si="2">+F7*B7</f>
        <v>8062.875</v>
      </c>
      <c r="H7" s="762">
        <v>2500</v>
      </c>
      <c r="I7" s="762">
        <f>+H7*$B7</f>
        <v>5000</v>
      </c>
      <c r="J7" s="762">
        <v>3100</v>
      </c>
      <c r="K7" s="762">
        <f t="shared" si="1"/>
        <v>6200</v>
      </c>
      <c r="L7" s="762">
        <v>4191.16</v>
      </c>
      <c r="M7" s="763">
        <f>+L7*$B7</f>
        <v>8382.32</v>
      </c>
      <c r="N7" s="764"/>
      <c r="O7" s="767"/>
    </row>
    <row r="8" spans="1:15" s="765" customFormat="1" x14ac:dyDescent="0.25">
      <c r="A8" s="759">
        <v>5</v>
      </c>
      <c r="B8" s="760">
        <v>2</v>
      </c>
      <c r="C8" s="766" t="s">
        <v>534</v>
      </c>
      <c r="D8" s="762">
        <f>(50.64/B8)*36.12</f>
        <v>914.55839999999989</v>
      </c>
      <c r="E8" s="762">
        <f t="shared" si="0"/>
        <v>1829.1167999999998</v>
      </c>
      <c r="F8" s="762">
        <f>365.19-(365.19*25%)</f>
        <v>273.89249999999998</v>
      </c>
      <c r="G8" s="762">
        <f t="shared" si="2"/>
        <v>547.78499999999997</v>
      </c>
      <c r="H8" s="762">
        <v>200</v>
      </c>
      <c r="I8" s="762">
        <f>+H8*$B8</f>
        <v>400</v>
      </c>
      <c r="J8" s="762">
        <v>380</v>
      </c>
      <c r="K8" s="762">
        <f t="shared" si="1"/>
        <v>760</v>
      </c>
      <c r="L8" s="762">
        <f>989.07/B8</f>
        <v>494.53500000000003</v>
      </c>
      <c r="M8" s="763">
        <f>+L8*$B8</f>
        <v>989.07</v>
      </c>
      <c r="N8" s="764"/>
    </row>
    <row r="9" spans="1:15" s="765" customFormat="1" x14ac:dyDescent="0.25">
      <c r="A9" s="759">
        <v>6</v>
      </c>
      <c r="B9" s="760">
        <v>1</v>
      </c>
      <c r="C9" s="766" t="s">
        <v>535</v>
      </c>
      <c r="D9" s="762">
        <f>(24.59)*36.12</f>
        <v>888.19079999999997</v>
      </c>
      <c r="E9" s="762">
        <f>+D9*B9</f>
        <v>888.19079999999997</v>
      </c>
      <c r="F9" s="762">
        <f>625.33-(625.33*25%)</f>
        <v>468.99750000000006</v>
      </c>
      <c r="G9" s="762">
        <f>+F9*B9</f>
        <v>468.99750000000006</v>
      </c>
      <c r="H9" s="762">
        <v>200</v>
      </c>
      <c r="I9" s="762">
        <f>+H9*$B9</f>
        <v>200</v>
      </c>
      <c r="J9" s="762">
        <v>380</v>
      </c>
      <c r="K9" s="762">
        <f t="shared" si="1"/>
        <v>380</v>
      </c>
      <c r="L9" s="762">
        <v>459.81</v>
      </c>
      <c r="M9" s="763">
        <f>+L9*$B9</f>
        <v>459.81</v>
      </c>
      <c r="N9" s="764"/>
    </row>
    <row r="10" spans="1:15" s="765" customFormat="1" x14ac:dyDescent="0.25">
      <c r="A10" s="759">
        <v>7</v>
      </c>
      <c r="B10" s="760">
        <v>1</v>
      </c>
      <c r="C10" s="766" t="s">
        <v>536</v>
      </c>
      <c r="D10" s="762">
        <f>(31.58)*36.12</f>
        <v>1140.6695999999999</v>
      </c>
      <c r="E10" s="762">
        <f t="shared" ref="E10:E11" si="3">+D10*B10</f>
        <v>1140.6695999999999</v>
      </c>
      <c r="F10" s="762">
        <f>352.58-(352.58*25%)</f>
        <v>264.435</v>
      </c>
      <c r="G10" s="762">
        <f t="shared" ref="G10:G11" si="4">+F10*B10</f>
        <v>264.435</v>
      </c>
      <c r="H10" s="762">
        <v>200</v>
      </c>
      <c r="I10" s="762">
        <f>+H10*$B10</f>
        <v>200</v>
      </c>
      <c r="J10" s="762">
        <v>380</v>
      </c>
      <c r="K10" s="762">
        <f t="shared" si="1"/>
        <v>380</v>
      </c>
      <c r="L10" s="762">
        <v>494.53</v>
      </c>
      <c r="M10" s="763">
        <f>+L10*$B10</f>
        <v>494.53</v>
      </c>
      <c r="N10" s="764"/>
    </row>
    <row r="11" spans="1:15" s="765" customFormat="1" ht="12.75" thickBot="1" x14ac:dyDescent="0.3">
      <c r="A11" s="759">
        <v>8</v>
      </c>
      <c r="B11" s="760">
        <v>4</v>
      </c>
      <c r="C11" s="766" t="s">
        <v>537</v>
      </c>
      <c r="D11" s="762">
        <f>(74.08/B11)*36.12</f>
        <v>668.94239999999991</v>
      </c>
      <c r="E11" s="762">
        <f t="shared" si="3"/>
        <v>2675.7695999999996</v>
      </c>
      <c r="F11" s="762">
        <f>70.29-(70.29*25%)</f>
        <v>52.717500000000001</v>
      </c>
      <c r="G11" s="762">
        <f t="shared" si="4"/>
        <v>210.87</v>
      </c>
      <c r="H11" s="762">
        <v>390</v>
      </c>
      <c r="I11" s="762">
        <f>+H11*$B11</f>
        <v>1560</v>
      </c>
      <c r="J11" s="762">
        <v>380</v>
      </c>
      <c r="K11" s="762">
        <f t="shared" si="1"/>
        <v>1520</v>
      </c>
      <c r="L11" s="762">
        <f>746.92/B11</f>
        <v>186.73</v>
      </c>
      <c r="M11" s="763">
        <f>+L11*$B11</f>
        <v>746.92</v>
      </c>
      <c r="N11" s="764"/>
    </row>
    <row r="12" spans="1:15" s="752" customFormat="1" x14ac:dyDescent="0.25">
      <c r="A12" s="1511" t="s">
        <v>4</v>
      </c>
      <c r="B12" s="1512"/>
      <c r="C12" s="1512"/>
      <c r="D12" s="1513">
        <f>SUM(E4:E11)</f>
        <v>51143.391599999995</v>
      </c>
      <c r="E12" s="1513"/>
      <c r="F12" s="1513">
        <f>SUM(G4:G11)</f>
        <v>13912.282499999999</v>
      </c>
      <c r="G12" s="1513"/>
      <c r="H12" s="1514">
        <f>SUM(I4:I11)</f>
        <v>14060</v>
      </c>
      <c r="I12" s="1514"/>
      <c r="J12" s="1514">
        <f>SUM(K4:K11)</f>
        <v>14640</v>
      </c>
      <c r="K12" s="1514"/>
      <c r="L12" s="1513">
        <f>SUM(M4:M11)</f>
        <v>15864.08</v>
      </c>
      <c r="M12" s="1517"/>
    </row>
    <row r="13" spans="1:15" s="752" customFormat="1" x14ac:dyDescent="0.25">
      <c r="A13" s="1518" t="s">
        <v>2</v>
      </c>
      <c r="B13" s="1519"/>
      <c r="C13" s="1519"/>
      <c r="D13" s="1520">
        <f>+D12*0.15</f>
        <v>7671.5087399999993</v>
      </c>
      <c r="E13" s="1520"/>
      <c r="F13" s="1520">
        <f>+F12*0.15</f>
        <v>2086.8423749999997</v>
      </c>
      <c r="G13" s="1520"/>
      <c r="H13" s="1520">
        <v>0</v>
      </c>
      <c r="I13" s="1520"/>
      <c r="J13" s="1520">
        <v>0</v>
      </c>
      <c r="K13" s="1520"/>
      <c r="L13" s="1520">
        <v>0</v>
      </c>
      <c r="M13" s="1521"/>
    </row>
    <row r="14" spans="1:15" s="752" customFormat="1" ht="12.75" thickBot="1" x14ac:dyDescent="0.3">
      <c r="A14" s="1515" t="s">
        <v>3</v>
      </c>
      <c r="B14" s="1516"/>
      <c r="C14" s="1516"/>
      <c r="D14" s="1509">
        <f>(D12)+D13</f>
        <v>58814.900339999993</v>
      </c>
      <c r="E14" s="1509"/>
      <c r="F14" s="1509">
        <f>(F12)+F13</f>
        <v>15999.124875</v>
      </c>
      <c r="G14" s="1509"/>
      <c r="H14" s="1509">
        <f t="shared" ref="H14:J14" si="5">(H12)+H13</f>
        <v>14060</v>
      </c>
      <c r="I14" s="1509"/>
      <c r="J14" s="1509">
        <f t="shared" si="5"/>
        <v>14640</v>
      </c>
      <c r="K14" s="1509"/>
      <c r="L14" s="1509">
        <f t="shared" ref="L14" si="6">(L12)+L13</f>
        <v>15864.08</v>
      </c>
      <c r="M14" s="1510"/>
    </row>
    <row r="16" spans="1:15" s="752" customFormat="1" x14ac:dyDescent="0.25">
      <c r="A16" s="753"/>
      <c r="B16" s="753"/>
      <c r="C16" s="753"/>
      <c r="D16" s="753"/>
      <c r="E16" s="768"/>
      <c r="F16" s="768"/>
      <c r="G16" s="768"/>
      <c r="H16" s="753"/>
      <c r="I16" s="768"/>
      <c r="J16" s="768"/>
      <c r="K16" s="768"/>
      <c r="L16" s="753"/>
      <c r="M16" s="768"/>
    </row>
    <row r="18" spans="7:7" x14ac:dyDescent="0.25">
      <c r="G18" s="769"/>
    </row>
  </sheetData>
  <mergeCells count="25">
    <mergeCell ref="J12:K12"/>
    <mergeCell ref="J13:K13"/>
    <mergeCell ref="A1:M1"/>
    <mergeCell ref="A2:A3"/>
    <mergeCell ref="D2:E2"/>
    <mergeCell ref="F2:G2"/>
    <mergeCell ref="H2:I2"/>
    <mergeCell ref="L2:M2"/>
    <mergeCell ref="J2:K2"/>
    <mergeCell ref="L14:M14"/>
    <mergeCell ref="J14:K14"/>
    <mergeCell ref="A12:C12"/>
    <mergeCell ref="D12:E12"/>
    <mergeCell ref="F12:G12"/>
    <mergeCell ref="H12:I12"/>
    <mergeCell ref="A14:C14"/>
    <mergeCell ref="D14:E14"/>
    <mergeCell ref="F14:G14"/>
    <mergeCell ref="H14:I14"/>
    <mergeCell ref="L12:M12"/>
    <mergeCell ref="A13:C13"/>
    <mergeCell ref="D13:E13"/>
    <mergeCell ref="F13:G13"/>
    <mergeCell ref="H13:I13"/>
    <mergeCell ref="L13:M13"/>
  </mergeCells>
  <conditionalFormatting sqref="E4:E11 G5:G11 I4:I11 M4:M11">
    <cfRule type="expression" dxfId="200" priority="9">
      <formula>D4=""</formula>
    </cfRule>
  </conditionalFormatting>
  <conditionalFormatting sqref="E4:E11 G4:G11 I4:I11 K4:K11 M4:M11">
    <cfRule type="expression" dxfId="199" priority="10">
      <formula>D4=MIN($D4,$F4,$H4,$J4,$L4)</formula>
    </cfRule>
  </conditionalFormatting>
  <conditionalFormatting sqref="G4">
    <cfRule type="expression" dxfId="198" priority="7">
      <formula>F4=""</formula>
    </cfRule>
  </conditionalFormatting>
  <conditionalFormatting sqref="G4">
    <cfRule type="expression" dxfId="197" priority="8">
      <formula>F4=MIN($D4,$F4,$H4,$L4)</formula>
    </cfRule>
  </conditionalFormatting>
  <conditionalFormatting sqref="K4:K11">
    <cfRule type="expression" dxfId="196" priority="1">
      <formula>J4=""</formula>
    </cfRule>
  </conditionalFormatting>
  <conditionalFormatting sqref="K4:K11">
    <cfRule type="expression" dxfId="195" priority="2">
      <formula>J4=MIN($D4,$F4,$H4,$L4)</formula>
    </cfRule>
  </conditionalFormatting>
  <pageMargins left="0.25" right="0.25" top="0.75" bottom="0.75" header="0.3" footer="0.3"/>
  <pageSetup orientation="landscape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374F14-0898-40CD-88B3-1D01280ADD42}">
  <sheetPr codeName="Hoja92"/>
  <dimension ref="A1:O16"/>
  <sheetViews>
    <sheetView showGridLines="0" workbookViewId="0">
      <selection activeCell="C6" sqref="C6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22" style="53" bestFit="1" customWidth="1"/>
    <col min="4" max="4" width="11.7109375" style="53" bestFit="1" customWidth="1"/>
    <col min="5" max="5" width="12.7109375" style="53" bestFit="1" customWidth="1"/>
    <col min="6" max="6" width="11.7109375" style="53" bestFit="1" customWidth="1"/>
    <col min="7" max="7" width="12.7109375" style="53" bestFit="1" customWidth="1"/>
    <col min="8" max="9" width="11.7109375" style="53" bestFit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x14ac:dyDescent="0.25">
      <c r="A1" s="1529" t="s">
        <v>1</v>
      </c>
      <c r="B1" s="1530"/>
      <c r="C1" s="1530"/>
      <c r="D1" s="1530"/>
      <c r="E1" s="1530"/>
      <c r="F1" s="1530"/>
      <c r="G1" s="1530"/>
      <c r="H1" s="1530"/>
      <c r="I1" s="1530"/>
      <c r="J1" s="1530"/>
      <c r="K1" s="1530"/>
      <c r="L1" s="1530"/>
      <c r="M1" s="1531"/>
    </row>
    <row r="2" spans="1:15" x14ac:dyDescent="0.25">
      <c r="A2" s="1532" t="s">
        <v>6</v>
      </c>
      <c r="B2" s="770" t="s">
        <v>17</v>
      </c>
      <c r="C2" s="771" t="s">
        <v>539</v>
      </c>
      <c r="D2" s="1533" t="s">
        <v>53</v>
      </c>
      <c r="E2" s="1533"/>
      <c r="F2" s="1533" t="s">
        <v>52</v>
      </c>
      <c r="G2" s="1533"/>
      <c r="H2" s="1533" t="s">
        <v>538</v>
      </c>
      <c r="I2" s="1533"/>
      <c r="J2" s="1534" t="s">
        <v>329</v>
      </c>
      <c r="K2" s="1535"/>
      <c r="L2" s="1534" t="s">
        <v>49</v>
      </c>
      <c r="M2" s="1536"/>
    </row>
    <row r="3" spans="1:15" x14ac:dyDescent="0.25">
      <c r="A3" s="1532"/>
      <c r="B3" s="772" t="s">
        <v>11</v>
      </c>
      <c r="C3" s="773" t="s">
        <v>0</v>
      </c>
      <c r="D3" s="773" t="s">
        <v>14</v>
      </c>
      <c r="E3" s="773" t="s">
        <v>10</v>
      </c>
      <c r="F3" s="773" t="s">
        <v>14</v>
      </c>
      <c r="G3" s="773" t="s">
        <v>10</v>
      </c>
      <c r="H3" s="773" t="s">
        <v>14</v>
      </c>
      <c r="I3" s="773" t="s">
        <v>10</v>
      </c>
      <c r="J3" s="773" t="s">
        <v>14</v>
      </c>
      <c r="K3" s="773" t="s">
        <v>10</v>
      </c>
      <c r="L3" s="773" t="s">
        <v>14</v>
      </c>
      <c r="M3" s="774" t="s">
        <v>10</v>
      </c>
    </row>
    <row r="4" spans="1:15" s="69" customFormat="1" x14ac:dyDescent="0.25">
      <c r="A4" s="433">
        <v>1</v>
      </c>
      <c r="B4" s="775">
        <v>8</v>
      </c>
      <c r="C4" s="776" t="s">
        <v>540</v>
      </c>
      <c r="D4" s="376">
        <f>(534.88/B4)*36.12</f>
        <v>2414.9831999999997</v>
      </c>
      <c r="E4" s="376">
        <f>+D4*B4</f>
        <v>19319.865599999997</v>
      </c>
      <c r="F4" s="376">
        <f>1726.45*0.75</f>
        <v>1294.8375000000001</v>
      </c>
      <c r="G4" s="376">
        <f>+F4*B4</f>
        <v>10358.700000000001</v>
      </c>
      <c r="H4" s="376">
        <v>990</v>
      </c>
      <c r="I4" s="376">
        <f>+H4*$B4</f>
        <v>7920</v>
      </c>
      <c r="J4" s="376"/>
      <c r="K4" s="376">
        <f>+J4*B4</f>
        <v>0</v>
      </c>
      <c r="L4" s="376"/>
      <c r="M4" s="377">
        <f>+L4*$B4</f>
        <v>0</v>
      </c>
      <c r="N4" s="68"/>
    </row>
    <row r="5" spans="1:15" s="69" customFormat="1" x14ac:dyDescent="0.25">
      <c r="A5" s="433">
        <v>2</v>
      </c>
      <c r="B5" s="775">
        <v>8</v>
      </c>
      <c r="C5" s="777" t="s">
        <v>541</v>
      </c>
      <c r="D5" s="376">
        <f>(353.84/B5)*36.12</f>
        <v>1597.5875999999998</v>
      </c>
      <c r="E5" s="376">
        <f t="shared" ref="E5:E8" si="0">+D5*B5</f>
        <v>12780.700799999999</v>
      </c>
      <c r="F5" s="376">
        <f>1867.01*0.75</f>
        <v>1400.2574999999999</v>
      </c>
      <c r="G5" s="376">
        <f>+F5*B5</f>
        <v>11202.06</v>
      </c>
      <c r="H5" s="376">
        <v>1100</v>
      </c>
      <c r="I5" s="376">
        <f>+H5*$B5</f>
        <v>8800</v>
      </c>
      <c r="J5" s="376"/>
      <c r="K5" s="376">
        <f t="shared" ref="K5:K9" si="1">+J5*B5</f>
        <v>0</v>
      </c>
      <c r="L5" s="376"/>
      <c r="M5" s="377">
        <f>+L5*$B5</f>
        <v>0</v>
      </c>
      <c r="N5" s="68"/>
    </row>
    <row r="6" spans="1:15" s="69" customFormat="1" x14ac:dyDescent="0.25">
      <c r="A6" s="433">
        <v>3</v>
      </c>
      <c r="B6" s="775">
        <v>16</v>
      </c>
      <c r="C6" s="777" t="s">
        <v>542</v>
      </c>
      <c r="D6" s="376">
        <f>(52.96/B6)*36.12</f>
        <v>119.55719999999999</v>
      </c>
      <c r="E6" s="376">
        <f t="shared" si="0"/>
        <v>1912.9151999999999</v>
      </c>
      <c r="F6" s="376" t="s">
        <v>36</v>
      </c>
      <c r="G6" s="376" t="s">
        <v>36</v>
      </c>
      <c r="H6" s="376" t="s">
        <v>36</v>
      </c>
      <c r="I6" s="376" t="s">
        <v>36</v>
      </c>
      <c r="J6" s="376"/>
      <c r="K6" s="376">
        <f t="shared" si="1"/>
        <v>0</v>
      </c>
      <c r="L6" s="376"/>
      <c r="M6" s="377" t="s">
        <v>36</v>
      </c>
      <c r="N6" s="68"/>
    </row>
    <row r="7" spans="1:15" s="69" customFormat="1" x14ac:dyDescent="0.25">
      <c r="A7" s="433">
        <v>4</v>
      </c>
      <c r="B7" s="775">
        <v>16</v>
      </c>
      <c r="C7" s="777" t="s">
        <v>543</v>
      </c>
      <c r="D7" s="376">
        <f>(69.04/8)*36.12</f>
        <v>311.71559999999999</v>
      </c>
      <c r="E7" s="376">
        <f t="shared" si="0"/>
        <v>4987.4495999999999</v>
      </c>
      <c r="F7" s="376" t="s">
        <v>36</v>
      </c>
      <c r="G7" s="376" t="s">
        <v>36</v>
      </c>
      <c r="H7" s="376" t="s">
        <v>36</v>
      </c>
      <c r="I7" s="376" t="s">
        <v>36</v>
      </c>
      <c r="J7" s="376"/>
      <c r="K7" s="376">
        <f t="shared" si="1"/>
        <v>0</v>
      </c>
      <c r="L7" s="376"/>
      <c r="M7" s="377">
        <f>+L7*$B7</f>
        <v>0</v>
      </c>
      <c r="N7" s="68"/>
      <c r="O7" s="778"/>
    </row>
    <row r="8" spans="1:15" s="69" customFormat="1" x14ac:dyDescent="0.25">
      <c r="A8" s="433">
        <v>5</v>
      </c>
      <c r="B8" s="775">
        <v>16</v>
      </c>
      <c r="C8" s="777" t="s">
        <v>544</v>
      </c>
      <c r="D8" s="376">
        <f>(211.52/B8)*36.12</f>
        <v>477.50639999999999</v>
      </c>
      <c r="E8" s="376">
        <f t="shared" si="0"/>
        <v>7640.1023999999998</v>
      </c>
      <c r="F8" s="376" t="s">
        <v>36</v>
      </c>
      <c r="G8" s="376" t="s">
        <v>36</v>
      </c>
      <c r="H8" s="376" t="s">
        <v>36</v>
      </c>
      <c r="I8" s="376" t="s">
        <v>36</v>
      </c>
      <c r="J8" s="376"/>
      <c r="K8" s="376">
        <f t="shared" si="1"/>
        <v>0</v>
      </c>
      <c r="L8" s="376"/>
      <c r="M8" s="377">
        <f>+L8*$B8</f>
        <v>0</v>
      </c>
      <c r="N8" s="68"/>
    </row>
    <row r="9" spans="1:15" s="69" customFormat="1" ht="15.75" thickBot="1" x14ac:dyDescent="0.3">
      <c r="A9" s="433">
        <v>6</v>
      </c>
      <c r="B9" s="775">
        <v>3</v>
      </c>
      <c r="C9" s="777" t="s">
        <v>545</v>
      </c>
      <c r="D9" s="376">
        <f>(609.93/B9)*36.12</f>
        <v>7343.5571999999984</v>
      </c>
      <c r="E9" s="376">
        <f>+D9*B9</f>
        <v>22030.671599999994</v>
      </c>
      <c r="F9" s="376" t="s">
        <v>36</v>
      </c>
      <c r="G9" s="376" t="s">
        <v>36</v>
      </c>
      <c r="H9" s="376" t="s">
        <v>36</v>
      </c>
      <c r="I9" s="376" t="s">
        <v>36</v>
      </c>
      <c r="J9" s="376"/>
      <c r="K9" s="376">
        <f t="shared" si="1"/>
        <v>0</v>
      </c>
      <c r="L9" s="376"/>
      <c r="M9" s="377">
        <f>+L9*$B9</f>
        <v>0</v>
      </c>
      <c r="N9" s="68"/>
    </row>
    <row r="10" spans="1:15" s="54" customFormat="1" x14ac:dyDescent="0.25">
      <c r="A10" s="1132" t="s">
        <v>4</v>
      </c>
      <c r="B10" s="1133"/>
      <c r="C10" s="1133"/>
      <c r="D10" s="1378">
        <f>SUM(E4:E9)</f>
        <v>68671.705199999997</v>
      </c>
      <c r="E10" s="1378"/>
      <c r="F10" s="1378">
        <f>SUM(G4:G9)</f>
        <v>21560.760000000002</v>
      </c>
      <c r="G10" s="1378"/>
      <c r="H10" s="1528">
        <f>SUM(I4:I9)</f>
        <v>16720</v>
      </c>
      <c r="I10" s="1528"/>
      <c r="J10" s="1537">
        <f>SUM(K4:K9)</f>
        <v>0</v>
      </c>
      <c r="K10" s="1538"/>
      <c r="L10" s="1117">
        <f>SUM(M4:M9)</f>
        <v>0</v>
      </c>
      <c r="M10" s="1135"/>
    </row>
    <row r="11" spans="1:15" s="54" customFormat="1" x14ac:dyDescent="0.25">
      <c r="A11" s="1123" t="s">
        <v>2</v>
      </c>
      <c r="B11" s="1124"/>
      <c r="C11" s="1124"/>
      <c r="D11" s="1374">
        <f>+D10*0.15</f>
        <v>10300.75578</v>
      </c>
      <c r="E11" s="1374"/>
      <c r="F11" s="1374">
        <f>+F10*0.15</f>
        <v>3234.114</v>
      </c>
      <c r="G11" s="1374"/>
      <c r="H11" s="1374">
        <v>0</v>
      </c>
      <c r="I11" s="1374"/>
      <c r="J11" s="1119">
        <v>0</v>
      </c>
      <c r="K11" s="1120"/>
      <c r="L11" s="1119">
        <v>0</v>
      </c>
      <c r="M11" s="1126"/>
    </row>
    <row r="12" spans="1:15" s="54" customFormat="1" ht="15.75" thickBot="1" x14ac:dyDescent="0.3">
      <c r="A12" s="1109" t="s">
        <v>3</v>
      </c>
      <c r="B12" s="1110"/>
      <c r="C12" s="1110"/>
      <c r="D12" s="1372">
        <f>(D10)+D11</f>
        <v>78972.460980000003</v>
      </c>
      <c r="E12" s="1372"/>
      <c r="F12" s="1372">
        <f>(F10)+F11</f>
        <v>24794.874000000003</v>
      </c>
      <c r="G12" s="1372"/>
      <c r="H12" s="1372">
        <f t="shared" ref="H12:J12" si="2">(H10)+H11</f>
        <v>16720</v>
      </c>
      <c r="I12" s="1372"/>
      <c r="J12" s="1112">
        <f t="shared" si="2"/>
        <v>0</v>
      </c>
      <c r="K12" s="1113"/>
      <c r="L12" s="1112">
        <f t="shared" ref="L12" si="3">(L10)+L11</f>
        <v>0</v>
      </c>
      <c r="M12" s="1114"/>
    </row>
    <row r="14" spans="1:15" s="54" customFormat="1" x14ac:dyDescent="0.25">
      <c r="A14" s="53"/>
      <c r="B14" s="53"/>
      <c r="C14" s="53"/>
      <c r="D14" s="53"/>
      <c r="E14" s="72"/>
      <c r="F14" s="72"/>
      <c r="G14" s="72"/>
      <c r="H14" s="53"/>
      <c r="I14" s="72"/>
      <c r="J14" s="72"/>
      <c r="K14" s="72"/>
      <c r="L14" s="53"/>
      <c r="M14" s="72"/>
    </row>
    <row r="16" spans="1:15" x14ac:dyDescent="0.25">
      <c r="G16" s="413"/>
    </row>
  </sheetData>
  <mergeCells count="25">
    <mergeCell ref="L11:M11"/>
    <mergeCell ref="J11:K11"/>
    <mergeCell ref="L12:M12"/>
    <mergeCell ref="J12:K12"/>
    <mergeCell ref="A12:C12"/>
    <mergeCell ref="D12:E12"/>
    <mergeCell ref="F12:G12"/>
    <mergeCell ref="H12:I12"/>
    <mergeCell ref="A11:C11"/>
    <mergeCell ref="D11:E11"/>
    <mergeCell ref="F11:G11"/>
    <mergeCell ref="H11:I11"/>
    <mergeCell ref="A10:C10"/>
    <mergeCell ref="D10:E10"/>
    <mergeCell ref="F10:G10"/>
    <mergeCell ref="H10:I10"/>
    <mergeCell ref="A1:M1"/>
    <mergeCell ref="A2:A3"/>
    <mergeCell ref="D2:E2"/>
    <mergeCell ref="F2:G2"/>
    <mergeCell ref="H2:I2"/>
    <mergeCell ref="J2:K2"/>
    <mergeCell ref="L2:M2"/>
    <mergeCell ref="L10:M10"/>
    <mergeCell ref="J10:K10"/>
  </mergeCells>
  <conditionalFormatting sqref="E4:E9 G5:G9 I4:I9 M4:M9 K4:K9">
    <cfRule type="expression" dxfId="194" priority="5">
      <formula>D4=""</formula>
    </cfRule>
  </conditionalFormatting>
  <conditionalFormatting sqref="E4:E9 G4:G9 I4:I9 K4:K9 M4:M9">
    <cfRule type="expression" dxfId="193" priority="6">
      <formula>D4=MIN($D4,$F4,$H4,$J4,$L4)</formula>
    </cfRule>
  </conditionalFormatting>
  <conditionalFormatting sqref="G4">
    <cfRule type="expression" dxfId="192" priority="3">
      <formula>F4=""</formula>
    </cfRule>
  </conditionalFormatting>
  <conditionalFormatting sqref="G4 K4:K9">
    <cfRule type="expression" dxfId="191" priority="4">
      <formula>F4=MIN($D4,$F4,$H4,$L4)</formula>
    </cfRule>
  </conditionalFormatting>
  <pageMargins left="0.25" right="0.25" top="0.75" bottom="0.75" header="0.3" footer="0.3"/>
  <pageSetup orientation="landscape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BF29FC-2424-482C-905D-3B9F9A2DE7A5}">
  <sheetPr codeName="Hoja93"/>
  <dimension ref="A1:O14"/>
  <sheetViews>
    <sheetView showGridLines="0" workbookViewId="0">
      <selection sqref="A1:M1"/>
    </sheetView>
  </sheetViews>
  <sheetFormatPr baseColWidth="10" defaultRowHeight="15" x14ac:dyDescent="0.25"/>
  <cols>
    <col min="1" max="1" width="2.5703125" style="53" bestFit="1" customWidth="1"/>
    <col min="2" max="2" width="5.85546875" style="53" bestFit="1" customWidth="1"/>
    <col min="3" max="3" width="19.28515625" style="53" bestFit="1" customWidth="1"/>
    <col min="4" max="9" width="11.7109375" style="53" bestFit="1" customWidth="1"/>
    <col min="10" max="10" width="4.7109375" style="53" hidden="1" customWidth="1"/>
    <col min="11" max="11" width="9.140625" style="53" hidden="1" customWidth="1"/>
    <col min="12" max="12" width="4.7109375" style="53" hidden="1" customWidth="1"/>
    <col min="13" max="13" width="9.140625" style="53" hidden="1" customWidth="1"/>
    <col min="14" max="14" width="13.42578125" style="54" bestFit="1" customWidth="1"/>
    <col min="15" max="15" width="13.42578125" style="53" bestFit="1" customWidth="1"/>
    <col min="16" max="16384" width="11.42578125" style="53"/>
  </cols>
  <sheetData>
    <row r="1" spans="1:15" x14ac:dyDescent="0.25">
      <c r="A1" s="1529" t="s">
        <v>1</v>
      </c>
      <c r="B1" s="1530"/>
      <c r="C1" s="1530"/>
      <c r="D1" s="1530"/>
      <c r="E1" s="1530"/>
      <c r="F1" s="1530"/>
      <c r="G1" s="1530"/>
      <c r="H1" s="1530"/>
      <c r="I1" s="1530"/>
      <c r="J1" s="1530"/>
      <c r="K1" s="1530"/>
      <c r="L1" s="1530"/>
      <c r="M1" s="1531"/>
    </row>
    <row r="2" spans="1:15" x14ac:dyDescent="0.25">
      <c r="A2" s="1532" t="s">
        <v>6</v>
      </c>
      <c r="B2" s="770" t="s">
        <v>17</v>
      </c>
      <c r="C2" s="771" t="s">
        <v>551</v>
      </c>
      <c r="D2" s="1533" t="s">
        <v>53</v>
      </c>
      <c r="E2" s="1533"/>
      <c r="F2" s="1533" t="s">
        <v>329</v>
      </c>
      <c r="G2" s="1533"/>
      <c r="H2" s="1533" t="s">
        <v>49</v>
      </c>
      <c r="I2" s="1533"/>
      <c r="J2" s="1534" t="s">
        <v>329</v>
      </c>
      <c r="K2" s="1535"/>
      <c r="L2" s="1534" t="s">
        <v>49</v>
      </c>
      <c r="M2" s="1536"/>
    </row>
    <row r="3" spans="1:15" x14ac:dyDescent="0.25">
      <c r="A3" s="1532"/>
      <c r="B3" s="772" t="s">
        <v>11</v>
      </c>
      <c r="C3" s="773" t="s">
        <v>0</v>
      </c>
      <c r="D3" s="773" t="s">
        <v>14</v>
      </c>
      <c r="E3" s="773" t="s">
        <v>10</v>
      </c>
      <c r="F3" s="773" t="s">
        <v>14</v>
      </c>
      <c r="G3" s="773" t="s">
        <v>10</v>
      </c>
      <c r="H3" s="773" t="s">
        <v>14</v>
      </c>
      <c r="I3" s="773" t="s">
        <v>10</v>
      </c>
      <c r="J3" s="773" t="s">
        <v>14</v>
      </c>
      <c r="K3" s="773" t="s">
        <v>10</v>
      </c>
      <c r="L3" s="773" t="s">
        <v>14</v>
      </c>
      <c r="M3" s="774" t="s">
        <v>10</v>
      </c>
    </row>
    <row r="4" spans="1:15" s="69" customFormat="1" ht="30" x14ac:dyDescent="0.25">
      <c r="A4" s="433">
        <v>1</v>
      </c>
      <c r="B4" s="775">
        <v>4</v>
      </c>
      <c r="C4" s="776" t="s">
        <v>546</v>
      </c>
      <c r="D4" s="376">
        <f>(196.08/B4)*36.12</f>
        <v>1770.6024</v>
      </c>
      <c r="E4" s="376">
        <f>+D4*B4</f>
        <v>7082.4096</v>
      </c>
      <c r="F4" s="376" t="s">
        <v>36</v>
      </c>
      <c r="G4" s="376" t="s">
        <v>36</v>
      </c>
      <c r="H4" s="376">
        <f>4857.48/B4</f>
        <v>1214.3699999999999</v>
      </c>
      <c r="I4" s="376">
        <f>+H4*$B4</f>
        <v>4857.4799999999996</v>
      </c>
      <c r="J4" s="376"/>
      <c r="K4" s="376">
        <f>+J4*B4</f>
        <v>0</v>
      </c>
      <c r="L4" s="376"/>
      <c r="M4" s="377">
        <f>+L4*$B4</f>
        <v>0</v>
      </c>
      <c r="N4" s="68"/>
    </row>
    <row r="5" spans="1:15" s="69" customFormat="1" ht="29.25" customHeight="1" x14ac:dyDescent="0.25">
      <c r="A5" s="433">
        <v>2</v>
      </c>
      <c r="B5" s="775">
        <v>3</v>
      </c>
      <c r="C5" s="777" t="s">
        <v>547</v>
      </c>
      <c r="D5" s="1539" t="s">
        <v>550</v>
      </c>
      <c r="E5" s="1540"/>
      <c r="F5" s="376" t="s">
        <v>36</v>
      </c>
      <c r="G5" s="376" t="s">
        <v>36</v>
      </c>
      <c r="H5" s="376" t="s">
        <v>36</v>
      </c>
      <c r="I5" s="376" t="s">
        <v>36</v>
      </c>
      <c r="J5" s="376"/>
      <c r="K5" s="376">
        <f t="shared" ref="K5:K7" si="0">+J5*B5</f>
        <v>0</v>
      </c>
      <c r="L5" s="376"/>
      <c r="M5" s="377">
        <f>+L5*$B5</f>
        <v>0</v>
      </c>
      <c r="N5" s="68"/>
    </row>
    <row r="6" spans="1:15" s="69" customFormat="1" x14ac:dyDescent="0.25">
      <c r="A6" s="433">
        <v>3</v>
      </c>
      <c r="B6" s="775">
        <v>6</v>
      </c>
      <c r="C6" s="777" t="s">
        <v>548</v>
      </c>
      <c r="D6" s="376">
        <f>((136.62+135.78)/B6)*36.12</f>
        <v>1639.8479999999997</v>
      </c>
      <c r="E6" s="376">
        <f t="shared" ref="E6:E7" si="1">+D6*B6</f>
        <v>9839.0879999999979</v>
      </c>
      <c r="F6" s="376">
        <v>1600</v>
      </c>
      <c r="G6" s="376">
        <f>+F6*B6</f>
        <v>9600</v>
      </c>
      <c r="H6" s="376" t="s">
        <v>36</v>
      </c>
      <c r="I6" s="376" t="s">
        <v>36</v>
      </c>
      <c r="J6" s="376"/>
      <c r="K6" s="376">
        <f t="shared" si="0"/>
        <v>0</v>
      </c>
      <c r="L6" s="376"/>
      <c r="M6" s="377" t="s">
        <v>36</v>
      </c>
      <c r="N6" s="68"/>
    </row>
    <row r="7" spans="1:15" s="69" customFormat="1" ht="15.75" thickBot="1" x14ac:dyDescent="0.3">
      <c r="A7" s="433">
        <v>4</v>
      </c>
      <c r="B7" s="775">
        <v>4</v>
      </c>
      <c r="C7" s="777" t="s">
        <v>549</v>
      </c>
      <c r="D7" s="376">
        <f>(176.92/B7)*36.12</f>
        <v>1597.5875999999998</v>
      </c>
      <c r="E7" s="376">
        <f t="shared" si="1"/>
        <v>6390.3503999999994</v>
      </c>
      <c r="F7" s="376">
        <v>2000</v>
      </c>
      <c r="G7" s="376">
        <f t="shared" ref="G7" si="2">+F7*B7</f>
        <v>8000</v>
      </c>
      <c r="H7" s="376" t="s">
        <v>36</v>
      </c>
      <c r="I7" s="376" t="s">
        <v>36</v>
      </c>
      <c r="J7" s="376"/>
      <c r="K7" s="376">
        <f t="shared" si="0"/>
        <v>0</v>
      </c>
      <c r="L7" s="376"/>
      <c r="M7" s="377">
        <f>+L7*$B7</f>
        <v>0</v>
      </c>
      <c r="N7" s="68"/>
      <c r="O7" s="778"/>
    </row>
    <row r="8" spans="1:15" s="54" customFormat="1" x14ac:dyDescent="0.25">
      <c r="A8" s="1132" t="s">
        <v>4</v>
      </c>
      <c r="B8" s="1133"/>
      <c r="C8" s="1133"/>
      <c r="D8" s="1378">
        <f>SUM(E4:E7)</f>
        <v>23311.847999999998</v>
      </c>
      <c r="E8" s="1378"/>
      <c r="F8" s="1378">
        <f>SUM(G4:G7)</f>
        <v>17600</v>
      </c>
      <c r="G8" s="1378"/>
      <c r="H8" s="1528">
        <f>SUM(I4:I7)</f>
        <v>4857.4799999999996</v>
      </c>
      <c r="I8" s="1528"/>
      <c r="J8" s="1537">
        <f>SUM(K4:K7)</f>
        <v>0</v>
      </c>
      <c r="K8" s="1538"/>
      <c r="L8" s="1117">
        <f>SUM(M4:M7)</f>
        <v>0</v>
      </c>
      <c r="M8" s="1135"/>
    </row>
    <row r="9" spans="1:15" s="54" customFormat="1" x14ac:dyDescent="0.25">
      <c r="A9" s="1123" t="s">
        <v>2</v>
      </c>
      <c r="B9" s="1124"/>
      <c r="C9" s="1124"/>
      <c r="D9" s="1374">
        <f>+D8*0.15</f>
        <v>3496.7771999999995</v>
      </c>
      <c r="E9" s="1374"/>
      <c r="F9" s="1374">
        <v>0</v>
      </c>
      <c r="G9" s="1374"/>
      <c r="H9" s="1374">
        <f>+H8*0.15</f>
        <v>728.62199999999996</v>
      </c>
      <c r="I9" s="1374"/>
      <c r="J9" s="1119">
        <v>0</v>
      </c>
      <c r="K9" s="1120"/>
      <c r="L9" s="1119">
        <v>0</v>
      </c>
      <c r="M9" s="1126"/>
    </row>
    <row r="10" spans="1:15" s="54" customFormat="1" ht="15.75" thickBot="1" x14ac:dyDescent="0.3">
      <c r="A10" s="1109" t="s">
        <v>3</v>
      </c>
      <c r="B10" s="1110"/>
      <c r="C10" s="1110"/>
      <c r="D10" s="1372">
        <f>(D8)+D9</f>
        <v>26808.625199999999</v>
      </c>
      <c r="E10" s="1372"/>
      <c r="F10" s="1372">
        <f>(F8)+F9</f>
        <v>17600</v>
      </c>
      <c r="G10" s="1372"/>
      <c r="H10" s="1372">
        <f t="shared" ref="H10:J10" si="3">(H8)+H9</f>
        <v>5586.1019999999999</v>
      </c>
      <c r="I10" s="1372"/>
      <c r="J10" s="1112">
        <f t="shared" si="3"/>
        <v>0</v>
      </c>
      <c r="K10" s="1113"/>
      <c r="L10" s="1112">
        <f t="shared" ref="L10" si="4">(L8)+L9</f>
        <v>0</v>
      </c>
      <c r="M10" s="1114"/>
    </row>
    <row r="12" spans="1:15" s="54" customFormat="1" x14ac:dyDescent="0.25">
      <c r="A12" s="53"/>
      <c r="B12" s="53"/>
      <c r="C12" s="53"/>
      <c r="D12" s="53"/>
      <c r="E12" s="72"/>
      <c r="F12" s="72"/>
      <c r="G12" s="72"/>
      <c r="H12" s="53"/>
      <c r="I12" s="72"/>
      <c r="J12" s="72"/>
      <c r="K12" s="72"/>
      <c r="L12" s="53"/>
      <c r="M12" s="72"/>
    </row>
    <row r="14" spans="1:15" x14ac:dyDescent="0.25">
      <c r="E14" s="72"/>
      <c r="G14" s="413"/>
    </row>
  </sheetData>
  <mergeCells count="26">
    <mergeCell ref="D5:E5"/>
    <mergeCell ref="L8:M8"/>
    <mergeCell ref="J8:K8"/>
    <mergeCell ref="L9:M9"/>
    <mergeCell ref="J9:K9"/>
    <mergeCell ref="L10:M10"/>
    <mergeCell ref="J10:K10"/>
    <mergeCell ref="A10:C10"/>
    <mergeCell ref="D10:E10"/>
    <mergeCell ref="F10:G10"/>
    <mergeCell ref="H10:I10"/>
    <mergeCell ref="A9:C9"/>
    <mergeCell ref="D9:E9"/>
    <mergeCell ref="F9:G9"/>
    <mergeCell ref="H9:I9"/>
    <mergeCell ref="A8:C8"/>
    <mergeCell ref="D8:E8"/>
    <mergeCell ref="F8:G8"/>
    <mergeCell ref="H8:I8"/>
    <mergeCell ref="A1:M1"/>
    <mergeCell ref="A2:A3"/>
    <mergeCell ref="D2:E2"/>
    <mergeCell ref="F2:G2"/>
    <mergeCell ref="H2:I2"/>
    <mergeCell ref="J2:K2"/>
    <mergeCell ref="L2:M2"/>
  </mergeCells>
  <conditionalFormatting sqref="G5:G7 I4:I7 M4:M7 K4:K7 E6:E7 E4">
    <cfRule type="expression" dxfId="190" priority="3">
      <formula>D4=""</formula>
    </cfRule>
  </conditionalFormatting>
  <conditionalFormatting sqref="E6:E7 E4 G6:G7 G4 I6:I7 I4 K6:K7 K4 M6:M7 M4">
    <cfRule type="expression" dxfId="189" priority="4">
      <formula>D4=MIN($D4,$F4,$H4,$J4,$L4)</formula>
    </cfRule>
  </conditionalFormatting>
  <conditionalFormatting sqref="G4">
    <cfRule type="expression" dxfId="188" priority="1">
      <formula>F4=""</formula>
    </cfRule>
  </conditionalFormatting>
  <conditionalFormatting sqref="G4 K6:K7 K4">
    <cfRule type="expression" dxfId="187" priority="2">
      <formula>F4=MIN($D4,$F4,$H4,$L4)</formula>
    </cfRule>
  </conditionalFormatting>
  <conditionalFormatting sqref="D5">
    <cfRule type="expression" dxfId="186" priority="215">
      <formula>#REF!=""</formula>
    </cfRule>
  </conditionalFormatting>
  <conditionalFormatting sqref="D5">
    <cfRule type="expression" dxfId="185" priority="218">
      <formula>#REF!=MIN(#REF!,$F5,$H5,$J5,$L5)</formula>
    </cfRule>
  </conditionalFormatting>
  <conditionalFormatting sqref="G5 I5 K5 M5">
    <cfRule type="expression" dxfId="184" priority="221">
      <formula>F5=MIN(#REF!,$F5,$H5,$J5,$L5)</formula>
    </cfRule>
  </conditionalFormatting>
  <conditionalFormatting sqref="K5">
    <cfRule type="expression" dxfId="183" priority="233">
      <formula>J5=MIN(#REF!,$F5,$H5,$L5)</formula>
    </cfRule>
  </conditionalFormatting>
  <pageMargins left="0.25" right="0.25" top="0.75" bottom="0.75" header="0.3" footer="0.3"/>
  <pageSetup orientation="landscape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7D054-2C7A-49F8-BA29-360CEBF4B108}">
  <sheetPr codeName="Hoja94"/>
  <dimension ref="A2:J12"/>
  <sheetViews>
    <sheetView showGridLines="0" workbookViewId="0">
      <selection activeCell="C6" sqref="C6"/>
    </sheetView>
  </sheetViews>
  <sheetFormatPr baseColWidth="10" defaultRowHeight="15" x14ac:dyDescent="0.25"/>
  <cols>
    <col min="1" max="1" width="2.5703125" style="367" bestFit="1" customWidth="1"/>
    <col min="2" max="2" width="5.85546875" style="367" bestFit="1" customWidth="1"/>
    <col min="3" max="3" width="16.140625" style="367" bestFit="1" customWidth="1"/>
    <col min="4" max="4" width="11.7109375" style="367" bestFit="1" customWidth="1"/>
    <col min="5" max="5" width="12.7109375" style="367" bestFit="1" customWidth="1"/>
    <col min="6" max="6" width="11.7109375" style="367" bestFit="1" customWidth="1"/>
    <col min="7" max="7" width="12.7109375" style="367" bestFit="1" customWidth="1"/>
    <col min="8" max="8" width="11.7109375" style="367" bestFit="1" customWidth="1"/>
    <col min="9" max="9" width="12.7109375" style="367" bestFit="1" customWidth="1"/>
    <col min="10" max="10" width="13.42578125" style="366" bestFit="1" customWidth="1"/>
    <col min="11" max="11" width="13.42578125" style="367" bestFit="1" customWidth="1"/>
    <col min="12" max="16384" width="11.42578125" style="367"/>
  </cols>
  <sheetData>
    <row r="2" spans="1:10" ht="15.75" thickBot="1" x14ac:dyDescent="0.3"/>
    <row r="3" spans="1:10" s="53" customFormat="1" ht="15.75" thickBot="1" x14ac:dyDescent="0.3">
      <c r="A3" s="1359" t="s">
        <v>1</v>
      </c>
      <c r="B3" s="1360"/>
      <c r="C3" s="1360"/>
      <c r="D3" s="1361"/>
      <c r="E3" s="1361"/>
      <c r="F3" s="1361"/>
      <c r="G3" s="1361"/>
      <c r="H3" s="1361"/>
      <c r="I3" s="1362"/>
      <c r="J3" s="54"/>
    </row>
    <row r="4" spans="1:10" s="53" customFormat="1" ht="15.75" thickBot="1" x14ac:dyDescent="0.3">
      <c r="A4" s="1129" t="s">
        <v>6</v>
      </c>
      <c r="B4" s="55" t="s">
        <v>17</v>
      </c>
      <c r="C4" s="56" t="s">
        <v>552</v>
      </c>
      <c r="D4" s="1131" t="s">
        <v>84</v>
      </c>
      <c r="E4" s="1116"/>
      <c r="F4" s="1115" t="s">
        <v>85</v>
      </c>
      <c r="G4" s="1116"/>
      <c r="H4" s="1115" t="s">
        <v>86</v>
      </c>
      <c r="I4" s="1116"/>
      <c r="J4" s="54"/>
    </row>
    <row r="5" spans="1:10" s="53" customFormat="1" ht="15.75" thickBot="1" x14ac:dyDescent="0.3">
      <c r="A5" s="1130"/>
      <c r="B5" s="57" t="s">
        <v>11</v>
      </c>
      <c r="C5" s="58" t="s">
        <v>0</v>
      </c>
      <c r="D5" s="59" t="s">
        <v>14</v>
      </c>
      <c r="E5" s="779" t="s">
        <v>10</v>
      </c>
      <c r="F5" s="59" t="s">
        <v>14</v>
      </c>
      <c r="G5" s="779" t="s">
        <v>10</v>
      </c>
      <c r="H5" s="59" t="s">
        <v>14</v>
      </c>
      <c r="I5" s="61" t="s">
        <v>10</v>
      </c>
      <c r="J5" s="54"/>
    </row>
    <row r="6" spans="1:10" s="362" customFormat="1" ht="15.75" thickBot="1" x14ac:dyDescent="0.3">
      <c r="A6" s="62">
        <v>1</v>
      </c>
      <c r="B6" s="356">
        <v>20</v>
      </c>
      <c r="C6" s="357" t="s">
        <v>83</v>
      </c>
      <c r="D6" s="358">
        <f>(1525/B6)*TC!C3</f>
        <v>2721.7285000000002</v>
      </c>
      <c r="E6" s="359">
        <f>+D6*B6</f>
        <v>54434.570000000007</v>
      </c>
      <c r="F6" s="358">
        <f>77*TC!C3</f>
        <v>2748.4996000000001</v>
      </c>
      <c r="G6" s="359">
        <f>F6*B6</f>
        <v>54969.991999999998</v>
      </c>
      <c r="H6" s="358">
        <f>43560/B6</f>
        <v>2178</v>
      </c>
      <c r="I6" s="360">
        <f>+H6*B6</f>
        <v>43560</v>
      </c>
      <c r="J6" s="361"/>
    </row>
    <row r="7" spans="1:10" x14ac:dyDescent="0.25">
      <c r="A7" s="1132" t="s">
        <v>4</v>
      </c>
      <c r="B7" s="1133"/>
      <c r="C7" s="1134"/>
      <c r="D7" s="1117">
        <f>SUM(E6:E6)</f>
        <v>54434.570000000007</v>
      </c>
      <c r="E7" s="1118"/>
      <c r="F7" s="1117">
        <f>SUM(G6:G6)</f>
        <v>54969.991999999998</v>
      </c>
      <c r="G7" s="1118"/>
      <c r="H7" s="1117">
        <f>SUM(I6:I6)</f>
        <v>43560</v>
      </c>
      <c r="I7" s="1135"/>
    </row>
    <row r="8" spans="1:10" x14ac:dyDescent="0.25">
      <c r="A8" s="1123" t="s">
        <v>87</v>
      </c>
      <c r="B8" s="1124"/>
      <c r="C8" s="1125"/>
      <c r="D8" s="1119">
        <v>0</v>
      </c>
      <c r="E8" s="1120"/>
      <c r="F8" s="1119">
        <v>0</v>
      </c>
      <c r="G8" s="1120"/>
      <c r="H8" s="1119">
        <f>+H7*0.05</f>
        <v>2178</v>
      </c>
      <c r="I8" s="1126"/>
    </row>
    <row r="9" spans="1:10" x14ac:dyDescent="0.25">
      <c r="A9" s="1369" t="s">
        <v>2</v>
      </c>
      <c r="B9" s="1370"/>
      <c r="C9" s="1371"/>
      <c r="D9" s="1119">
        <f>(D7-D8)*15%</f>
        <v>8165.1855000000005</v>
      </c>
      <c r="E9" s="1120"/>
      <c r="F9" s="1119">
        <f>(F7-F8)*15%</f>
        <v>8245.4987999999994</v>
      </c>
      <c r="G9" s="1120"/>
      <c r="H9" s="1119">
        <f>(H7+H8)*15%</f>
        <v>6860.7</v>
      </c>
      <c r="I9" s="1126"/>
    </row>
    <row r="10" spans="1:10" ht="15.75" thickBot="1" x14ac:dyDescent="0.3">
      <c r="A10" s="1363" t="s">
        <v>3</v>
      </c>
      <c r="B10" s="1364"/>
      <c r="C10" s="1365"/>
      <c r="D10" s="1366">
        <f>(D7-D8)+D9</f>
        <v>62599.755500000007</v>
      </c>
      <c r="E10" s="1367"/>
      <c r="F10" s="1366">
        <f>(F7-F8)+F9</f>
        <v>63215.4908</v>
      </c>
      <c r="G10" s="1367"/>
      <c r="H10" s="1366">
        <f>(H7+H8)+H9</f>
        <v>52598.7</v>
      </c>
      <c r="I10" s="1368"/>
    </row>
    <row r="12" spans="1:10" ht="39" customHeight="1" x14ac:dyDescent="0.25">
      <c r="D12" s="1541"/>
      <c r="E12" s="1541"/>
      <c r="F12" s="368"/>
      <c r="G12" s="368"/>
      <c r="I12" s="368"/>
    </row>
  </sheetData>
  <mergeCells count="22">
    <mergeCell ref="A10:C10"/>
    <mergeCell ref="D10:E10"/>
    <mergeCell ref="F10:G10"/>
    <mergeCell ref="H10:I10"/>
    <mergeCell ref="D12:E12"/>
    <mergeCell ref="A8:C8"/>
    <mergeCell ref="D8:E8"/>
    <mergeCell ref="F8:G8"/>
    <mergeCell ref="H8:I8"/>
    <mergeCell ref="A9:C9"/>
    <mergeCell ref="D9:E9"/>
    <mergeCell ref="F9:G9"/>
    <mergeCell ref="H9:I9"/>
    <mergeCell ref="A7:C7"/>
    <mergeCell ref="D7:E7"/>
    <mergeCell ref="F7:G7"/>
    <mergeCell ref="H7:I7"/>
    <mergeCell ref="A3:I3"/>
    <mergeCell ref="A4:A5"/>
    <mergeCell ref="D4:E4"/>
    <mergeCell ref="F4:G4"/>
    <mergeCell ref="H4:I4"/>
  </mergeCells>
  <conditionalFormatting sqref="E6 G6 I6">
    <cfRule type="expression" dxfId="182" priority="1">
      <formula>D6=""</formula>
    </cfRule>
    <cfRule type="expression" dxfId="181" priority="2">
      <formula>D6=MIN($D6,$F6,$H6)</formula>
    </cfRule>
  </conditionalFormatting>
  <pageMargins left="0.25" right="0.25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370892-6CB9-4A46-8163-0BF4B92767DE}">
  <sheetPr codeName="Hoja95"/>
  <dimension ref="A2:H13"/>
  <sheetViews>
    <sheetView showGridLines="0" workbookViewId="0">
      <selection activeCell="D4" sqref="D4:E4"/>
    </sheetView>
  </sheetViews>
  <sheetFormatPr baseColWidth="10" defaultRowHeight="18.75" x14ac:dyDescent="0.3"/>
  <cols>
    <col min="1" max="1" width="3.5703125" style="518" bestFit="1" customWidth="1"/>
    <col min="2" max="2" width="7.5703125" style="518" bestFit="1" customWidth="1"/>
    <col min="3" max="3" width="22.28515625" style="518" bestFit="1" customWidth="1"/>
    <col min="4" max="4" width="10.85546875" style="518" bestFit="1" customWidth="1"/>
    <col min="5" max="5" width="15.85546875" style="518" bestFit="1" customWidth="1"/>
    <col min="6" max="6" width="10.85546875" style="518" bestFit="1" customWidth="1"/>
    <col min="7" max="7" width="15.85546875" style="518" bestFit="1" customWidth="1"/>
    <col min="8" max="8" width="13.42578125" style="519" bestFit="1" customWidth="1"/>
    <col min="9" max="9" width="13.42578125" style="518" bestFit="1" customWidth="1"/>
    <col min="10" max="16384" width="11.42578125" style="518"/>
  </cols>
  <sheetData>
    <row r="2" spans="1:8" ht="19.5" thickBot="1" x14ac:dyDescent="0.35"/>
    <row r="3" spans="1:8" s="521" customFormat="1" ht="19.5" thickBot="1" x14ac:dyDescent="0.35">
      <c r="A3" s="1554" t="s">
        <v>1</v>
      </c>
      <c r="B3" s="1555"/>
      <c r="C3" s="1555"/>
      <c r="D3" s="1556"/>
      <c r="E3" s="1556"/>
      <c r="F3" s="1556"/>
      <c r="G3" s="1557"/>
      <c r="H3" s="520"/>
    </row>
    <row r="4" spans="1:8" s="521" customFormat="1" ht="19.5" thickBot="1" x14ac:dyDescent="0.3">
      <c r="A4" s="1558" t="s">
        <v>6</v>
      </c>
      <c r="B4" s="651" t="s">
        <v>17</v>
      </c>
      <c r="C4" s="652" t="s">
        <v>553</v>
      </c>
      <c r="D4" s="1559" t="s">
        <v>84</v>
      </c>
      <c r="E4" s="1560"/>
      <c r="F4" s="1561" t="s">
        <v>86</v>
      </c>
      <c r="G4" s="1560"/>
      <c r="H4" s="520"/>
    </row>
    <row r="5" spans="1:8" s="521" customFormat="1" ht="19.5" thickBot="1" x14ac:dyDescent="0.3">
      <c r="A5" s="1479"/>
      <c r="B5" s="654" t="s">
        <v>11</v>
      </c>
      <c r="C5" s="655" t="s">
        <v>0</v>
      </c>
      <c r="D5" s="784" t="s">
        <v>14</v>
      </c>
      <c r="E5" s="656" t="s">
        <v>10</v>
      </c>
      <c r="F5" s="784" t="s">
        <v>14</v>
      </c>
      <c r="G5" s="780" t="s">
        <v>10</v>
      </c>
      <c r="H5" s="520"/>
    </row>
    <row r="6" spans="1:8" s="523" customFormat="1" ht="19.5" thickBot="1" x14ac:dyDescent="0.35">
      <c r="A6" s="785">
        <v>1</v>
      </c>
      <c r="B6" s="786">
        <v>2000</v>
      </c>
      <c r="C6" s="787" t="s">
        <v>554</v>
      </c>
      <c r="D6" s="788">
        <f>(117.8/B6)*TC!C3</f>
        <v>2.10242372</v>
      </c>
      <c r="E6" s="789">
        <f>+D6*B6</f>
        <v>4204.8474399999996</v>
      </c>
      <c r="F6" s="788">
        <f>4080/B6</f>
        <v>2.04</v>
      </c>
      <c r="G6" s="790">
        <f>+F6*B6</f>
        <v>4080</v>
      </c>
      <c r="H6" s="522"/>
    </row>
    <row r="7" spans="1:8" x14ac:dyDescent="0.3">
      <c r="A7" s="1562" t="s">
        <v>4</v>
      </c>
      <c r="B7" s="1563"/>
      <c r="C7" s="1564"/>
      <c r="D7" s="1565">
        <f>SUM(E6:E6)</f>
        <v>4204.8474399999996</v>
      </c>
      <c r="E7" s="1566"/>
      <c r="F7" s="1565">
        <f>SUM(G6:G6)</f>
        <v>4080</v>
      </c>
      <c r="G7" s="1567"/>
    </row>
    <row r="8" spans="1:8" x14ac:dyDescent="0.3">
      <c r="A8" s="1547" t="s">
        <v>87</v>
      </c>
      <c r="B8" s="1548"/>
      <c r="C8" s="1549"/>
      <c r="D8" s="1550">
        <v>0</v>
      </c>
      <c r="E8" s="1551"/>
      <c r="F8" s="1550">
        <f>+F7*0.05</f>
        <v>204</v>
      </c>
      <c r="G8" s="1552"/>
    </row>
    <row r="9" spans="1:8" x14ac:dyDescent="0.3">
      <c r="A9" s="1441" t="s">
        <v>2</v>
      </c>
      <c r="B9" s="1442"/>
      <c r="C9" s="1553"/>
      <c r="D9" s="1550">
        <f>(D7-D8)*15%</f>
        <v>630.72711599999991</v>
      </c>
      <c r="E9" s="1551"/>
      <c r="F9" s="1550">
        <f>(F7+F8)*15%</f>
        <v>642.6</v>
      </c>
      <c r="G9" s="1552"/>
    </row>
    <row r="10" spans="1:8" ht="19.5" thickBot="1" x14ac:dyDescent="0.35">
      <c r="A10" s="1439" t="s">
        <v>3</v>
      </c>
      <c r="B10" s="1440"/>
      <c r="C10" s="1542"/>
      <c r="D10" s="1543">
        <f>(D7-D8)+D9</f>
        <v>4835.5745559999996</v>
      </c>
      <c r="E10" s="1544"/>
      <c r="F10" s="1543">
        <f>(F7+F8)+F9</f>
        <v>4926.6000000000004</v>
      </c>
      <c r="G10" s="1545"/>
    </row>
    <row r="12" spans="1:8" x14ac:dyDescent="0.3">
      <c r="D12" s="1546"/>
      <c r="E12" s="1546"/>
      <c r="G12" s="524"/>
    </row>
    <row r="13" spans="1:8" x14ac:dyDescent="0.3">
      <c r="E13" s="524"/>
    </row>
  </sheetData>
  <mergeCells count="17">
    <mergeCell ref="A3:G3"/>
    <mergeCell ref="A4:A5"/>
    <mergeCell ref="D4:E4"/>
    <mergeCell ref="F4:G4"/>
    <mergeCell ref="A7:C7"/>
    <mergeCell ref="D7:E7"/>
    <mergeCell ref="F7:G7"/>
    <mergeCell ref="A10:C10"/>
    <mergeCell ref="D10:E10"/>
    <mergeCell ref="F10:G10"/>
    <mergeCell ref="D12:E12"/>
    <mergeCell ref="A8:C8"/>
    <mergeCell ref="D8:E8"/>
    <mergeCell ref="F8:G8"/>
    <mergeCell ref="A9:C9"/>
    <mergeCell ref="D9:E9"/>
    <mergeCell ref="F9:G9"/>
  </mergeCells>
  <conditionalFormatting sqref="E6 G6">
    <cfRule type="expression" dxfId="180" priority="234">
      <formula>D6=""</formula>
    </cfRule>
    <cfRule type="expression" dxfId="179" priority="235">
      <formula>D6=MIN($D6,#REF!,$F6)</formula>
    </cfRule>
  </conditionalFormatting>
  <pageMargins left="0.25" right="0.25" top="0.75" bottom="0.75" header="0.3" footer="0.3"/>
  <pageSetup orientation="portrait" r:id="rId1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C4DDB-5B5F-4D0A-A8C5-877BCBCC9DF6}">
  <sheetPr codeName="Hoja96"/>
  <dimension ref="B2:K15"/>
  <sheetViews>
    <sheetView showGridLines="0" workbookViewId="0">
      <selection activeCell="D6" sqref="D6"/>
    </sheetView>
  </sheetViews>
  <sheetFormatPr baseColWidth="10" defaultRowHeight="15" x14ac:dyDescent="0.25"/>
  <cols>
    <col min="1" max="1" width="11.42578125" style="53"/>
    <col min="2" max="2" width="2.5703125" style="53" bestFit="1" customWidth="1"/>
    <col min="3" max="3" width="5.85546875" style="53" bestFit="1" customWidth="1"/>
    <col min="4" max="4" width="22.42578125" style="53" bestFit="1" customWidth="1"/>
    <col min="5" max="10" width="11.7109375" style="53" bestFit="1" customWidth="1"/>
    <col min="11" max="11" width="13.42578125" style="54" bestFit="1" customWidth="1"/>
    <col min="12" max="12" width="13.42578125" style="53" bestFit="1" customWidth="1"/>
    <col min="13" max="16384" width="11.42578125" style="53"/>
  </cols>
  <sheetData>
    <row r="2" spans="2:11" ht="15.75" thickBot="1" x14ac:dyDescent="0.3"/>
    <row r="3" spans="2:11" ht="15.75" thickBot="1" x14ac:dyDescent="0.3">
      <c r="B3" s="1115" t="s">
        <v>1</v>
      </c>
      <c r="C3" s="1128"/>
      <c r="D3" s="1128"/>
      <c r="E3" s="1128"/>
      <c r="F3" s="1128"/>
      <c r="G3" s="1128"/>
      <c r="H3" s="1128"/>
      <c r="I3" s="1128"/>
      <c r="J3" s="1116"/>
    </row>
    <row r="4" spans="2:11" x14ac:dyDescent="0.25">
      <c r="B4" s="1390" t="s">
        <v>6</v>
      </c>
      <c r="C4" s="427" t="s">
        <v>17</v>
      </c>
      <c r="D4" s="370" t="s">
        <v>555</v>
      </c>
      <c r="E4" s="1382" t="s">
        <v>29</v>
      </c>
      <c r="F4" s="1382"/>
      <c r="G4" s="1382" t="s">
        <v>119</v>
      </c>
      <c r="H4" s="1382"/>
      <c r="I4" s="1382" t="s">
        <v>559</v>
      </c>
      <c r="J4" s="1383"/>
    </row>
    <row r="5" spans="2:11" ht="15.75" thickBot="1" x14ac:dyDescent="0.3">
      <c r="B5" s="1391"/>
      <c r="C5" s="428" t="s">
        <v>11</v>
      </c>
      <c r="D5" s="372" t="s">
        <v>0</v>
      </c>
      <c r="E5" s="372" t="s">
        <v>14</v>
      </c>
      <c r="F5" s="372" t="s">
        <v>10</v>
      </c>
      <c r="G5" s="372" t="s">
        <v>14</v>
      </c>
      <c r="H5" s="372" t="s">
        <v>10</v>
      </c>
      <c r="I5" s="372" t="s">
        <v>14</v>
      </c>
      <c r="J5" s="373" t="s">
        <v>10</v>
      </c>
    </row>
    <row r="6" spans="2:11" s="69" customFormat="1" x14ac:dyDescent="0.25">
      <c r="B6" s="781">
        <v>1</v>
      </c>
      <c r="C6" s="791">
        <v>1</v>
      </c>
      <c r="D6" s="792" t="s">
        <v>557</v>
      </c>
      <c r="E6" s="374">
        <f>8.8*TC!C3</f>
        <v>314.11424000000005</v>
      </c>
      <c r="F6" s="374">
        <f>+E6*C6</f>
        <v>314.11424000000005</v>
      </c>
      <c r="G6" s="374">
        <v>200.31</v>
      </c>
      <c r="H6" s="374">
        <f>+G6*C6</f>
        <v>200.31</v>
      </c>
      <c r="I6" s="1568">
        <v>1826.09</v>
      </c>
      <c r="J6" s="1570">
        <f>+I6*$C6</f>
        <v>1826.09</v>
      </c>
      <c r="K6" s="68"/>
    </row>
    <row r="7" spans="2:11" s="69" customFormat="1" x14ac:dyDescent="0.25">
      <c r="B7" s="783">
        <v>2</v>
      </c>
      <c r="C7" s="775">
        <v>1</v>
      </c>
      <c r="D7" s="777" t="s">
        <v>558</v>
      </c>
      <c r="E7" s="376">
        <f>8.8*TC!C3</f>
        <v>314.11424000000005</v>
      </c>
      <c r="F7" s="376">
        <f t="shared" ref="F7:F8" si="0">+E7*C7</f>
        <v>314.11424000000005</v>
      </c>
      <c r="G7" s="376">
        <v>225</v>
      </c>
      <c r="H7" s="376">
        <f>+G7*C7</f>
        <v>225</v>
      </c>
      <c r="I7" s="1568"/>
      <c r="J7" s="1570"/>
      <c r="K7" s="68"/>
    </row>
    <row r="8" spans="2:11" s="69" customFormat="1" ht="15.75" thickBot="1" x14ac:dyDescent="0.3">
      <c r="B8" s="783">
        <v>3</v>
      </c>
      <c r="C8" s="775">
        <v>1</v>
      </c>
      <c r="D8" s="777" t="s">
        <v>556</v>
      </c>
      <c r="E8" s="376">
        <f>54.54*TC!C3</f>
        <v>1946.794392</v>
      </c>
      <c r="F8" s="376">
        <f t="shared" si="0"/>
        <v>1946.794392</v>
      </c>
      <c r="G8" s="376">
        <v>1504.86</v>
      </c>
      <c r="H8" s="376">
        <f>+G8*C8</f>
        <v>1504.86</v>
      </c>
      <c r="I8" s="1569"/>
      <c r="J8" s="1571"/>
      <c r="K8" s="68"/>
    </row>
    <row r="9" spans="2:11" s="54" customFormat="1" x14ac:dyDescent="0.25">
      <c r="B9" s="1132" t="s">
        <v>4</v>
      </c>
      <c r="C9" s="1133"/>
      <c r="D9" s="1133"/>
      <c r="E9" s="1378">
        <f>SUM(F6:F8)</f>
        <v>2575.022872</v>
      </c>
      <c r="F9" s="1378"/>
      <c r="G9" s="1378">
        <f>SUM(H6:H8)</f>
        <v>1930.1699999999998</v>
      </c>
      <c r="H9" s="1378"/>
      <c r="I9" s="1528">
        <f>SUM(J6:J8)</f>
        <v>1826.09</v>
      </c>
      <c r="J9" s="1572"/>
    </row>
    <row r="10" spans="2:11" s="54" customFormat="1" x14ac:dyDescent="0.25">
      <c r="B10" s="1123" t="s">
        <v>2</v>
      </c>
      <c r="C10" s="1124"/>
      <c r="D10" s="1124"/>
      <c r="E10" s="1374">
        <f>+E9*0.15</f>
        <v>386.25343079999999</v>
      </c>
      <c r="F10" s="1374"/>
      <c r="G10" s="1374">
        <f>+G9*0.15</f>
        <v>289.52549999999997</v>
      </c>
      <c r="H10" s="1374"/>
      <c r="I10" s="1374">
        <f>+I9*0.15</f>
        <v>273.9135</v>
      </c>
      <c r="J10" s="1375"/>
    </row>
    <row r="11" spans="2:11" s="54" customFormat="1" ht="15.75" thickBot="1" x14ac:dyDescent="0.3">
      <c r="B11" s="1109" t="s">
        <v>3</v>
      </c>
      <c r="C11" s="1110"/>
      <c r="D11" s="1110"/>
      <c r="E11" s="1372">
        <f>(E9)+E10</f>
        <v>2961.2763027999999</v>
      </c>
      <c r="F11" s="1372"/>
      <c r="G11" s="1372">
        <f>(G9)+G10</f>
        <v>2219.6954999999998</v>
      </c>
      <c r="H11" s="1372"/>
      <c r="I11" s="1372">
        <f t="shared" ref="I11" si="1">(I9)+I10</f>
        <v>2100.0034999999998</v>
      </c>
      <c r="J11" s="1373"/>
    </row>
    <row r="13" spans="2:11" s="54" customFormat="1" x14ac:dyDescent="0.25">
      <c r="B13" s="53"/>
      <c r="C13" s="53"/>
      <c r="D13" s="53"/>
      <c r="E13" s="72"/>
      <c r="F13" s="72"/>
      <c r="G13" s="72"/>
      <c r="H13" s="72"/>
      <c r="I13" s="53"/>
      <c r="J13" s="72"/>
    </row>
    <row r="15" spans="2:11" x14ac:dyDescent="0.25">
      <c r="H15" s="413"/>
    </row>
  </sheetData>
  <mergeCells count="19">
    <mergeCell ref="I6:I8"/>
    <mergeCell ref="J6:J8"/>
    <mergeCell ref="B11:D11"/>
    <mergeCell ref="E11:F11"/>
    <mergeCell ref="G11:H11"/>
    <mergeCell ref="I11:J11"/>
    <mergeCell ref="B10:D10"/>
    <mergeCell ref="E10:F10"/>
    <mergeCell ref="G10:H10"/>
    <mergeCell ref="I10:J10"/>
    <mergeCell ref="B9:D9"/>
    <mergeCell ref="E9:F9"/>
    <mergeCell ref="G9:H9"/>
    <mergeCell ref="I9:J9"/>
    <mergeCell ref="B3:J3"/>
    <mergeCell ref="B4:B5"/>
    <mergeCell ref="E4:F4"/>
    <mergeCell ref="G4:H4"/>
    <mergeCell ref="I4:J4"/>
  </mergeCells>
  <conditionalFormatting sqref="F6:F8 J6 H7:H8">
    <cfRule type="expression" dxfId="178" priority="3">
      <formula>E6=""</formula>
    </cfRule>
  </conditionalFormatting>
  <conditionalFormatting sqref="H6">
    <cfRule type="expression" dxfId="177" priority="1">
      <formula>G6=""</formula>
    </cfRule>
  </conditionalFormatting>
  <conditionalFormatting sqref="F6:F8 J6 H6:H8">
    <cfRule type="expression" dxfId="176" priority="236">
      <formula>E6=MIN($E6,$G6,$I6,#REF!,#REF!)</formula>
    </cfRule>
  </conditionalFormatting>
  <conditionalFormatting sqref="H6">
    <cfRule type="expression" dxfId="175" priority="239">
      <formula>G6=MIN($E6,$G6,$I6,#REF!)</formula>
    </cfRule>
  </conditionalFormatting>
  <pageMargins left="0.25" right="0.25" top="0.75" bottom="0.75" header="0.3" footer="0.3"/>
  <pageSetup orientation="landscape" r:id="rId1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204275-624F-48B0-9032-57B10215BAAA}">
  <sheetPr codeName="Hoja97"/>
  <dimension ref="A2:J14"/>
  <sheetViews>
    <sheetView showGridLines="0" workbookViewId="0">
      <selection activeCell="D8" sqref="D8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20.140625" style="108" bestFit="1" customWidth="1"/>
    <col min="4" max="4" width="12.85546875" style="108" bestFit="1" customWidth="1"/>
    <col min="5" max="5" width="14" style="108" bestFit="1" customWidth="1"/>
    <col min="6" max="6" width="12.85546875" style="108" bestFit="1" customWidth="1"/>
    <col min="7" max="7" width="14" style="108" bestFit="1" customWidth="1"/>
    <col min="8" max="9" width="12.85546875" style="108" bestFit="1" customWidth="1"/>
    <col min="10" max="10" width="13.42578125" style="109" bestFit="1" customWidth="1"/>
    <col min="11" max="11" width="13.42578125" style="108" bestFit="1" customWidth="1"/>
    <col min="12" max="16384" width="11.42578125" style="108"/>
  </cols>
  <sheetData>
    <row r="2" spans="1:10" ht="16.5" thickBot="1" x14ac:dyDescent="0.3"/>
    <row r="3" spans="1:10" s="34" customFormat="1" ht="16.5" thickBot="1" x14ac:dyDescent="0.3">
      <c r="A3" s="1178" t="s">
        <v>1</v>
      </c>
      <c r="B3" s="1180"/>
      <c r="C3" s="1180"/>
      <c r="D3" s="1180"/>
      <c r="E3" s="1180"/>
      <c r="F3" s="1180"/>
      <c r="G3" s="1180"/>
      <c r="H3" s="1180"/>
      <c r="I3" s="1181"/>
      <c r="J3" s="35"/>
    </row>
    <row r="4" spans="1:10" s="34" customFormat="1" x14ac:dyDescent="0.25">
      <c r="A4" s="1384" t="s">
        <v>6</v>
      </c>
      <c r="B4" s="43" t="s">
        <v>17</v>
      </c>
      <c r="C4" s="44" t="s">
        <v>295</v>
      </c>
      <c r="D4" s="1398" t="s">
        <v>53</v>
      </c>
      <c r="E4" s="1398"/>
      <c r="F4" s="1398" t="s">
        <v>52</v>
      </c>
      <c r="G4" s="1398"/>
      <c r="H4" s="1398" t="s">
        <v>49</v>
      </c>
      <c r="I4" s="1402"/>
      <c r="J4" s="35"/>
    </row>
    <row r="5" spans="1:10" s="34" customFormat="1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393" t="s">
        <v>10</v>
      </c>
      <c r="J5" s="35"/>
    </row>
    <row r="6" spans="1:10" s="124" customFormat="1" x14ac:dyDescent="0.25">
      <c r="A6" s="782">
        <v>1</v>
      </c>
      <c r="B6" s="396">
        <v>6</v>
      </c>
      <c r="C6" s="119" t="s">
        <v>296</v>
      </c>
      <c r="D6" s="399">
        <f>(449.04/B6)*36.12</f>
        <v>2703.2208000000001</v>
      </c>
      <c r="E6" s="399">
        <f>+D6*$B6</f>
        <v>16219.3248</v>
      </c>
      <c r="F6" s="399">
        <f>1326.49*0.75</f>
        <v>994.86750000000006</v>
      </c>
      <c r="G6" s="399">
        <f>+F6*$B6</f>
        <v>5969.2049999999999</v>
      </c>
      <c r="H6" s="399">
        <f>7885.25/B6</f>
        <v>1314.2083333333333</v>
      </c>
      <c r="I6" s="400">
        <f>+H6*$B6</f>
        <v>7885.25</v>
      </c>
      <c r="J6" s="123"/>
    </row>
    <row r="7" spans="1:10" s="124" customFormat="1" x14ac:dyDescent="0.25">
      <c r="A7" s="421">
        <v>2</v>
      </c>
      <c r="B7" s="422">
        <v>6</v>
      </c>
      <c r="C7" s="127" t="s">
        <v>297</v>
      </c>
      <c r="D7" s="423">
        <f>(251.64/B7)*36.12</f>
        <v>1514.8727999999999</v>
      </c>
      <c r="E7" s="423">
        <f>+D7*$B7</f>
        <v>9089.2367999999988</v>
      </c>
      <c r="F7" s="423">
        <f>2763.01*0.75</f>
        <v>2072.2575000000002</v>
      </c>
      <c r="G7" s="399">
        <f>+F7*$B7</f>
        <v>12433.545000000002</v>
      </c>
      <c r="H7" s="423">
        <f>4293.6/B7</f>
        <v>715.6</v>
      </c>
      <c r="I7" s="424">
        <f>+H7*$B7</f>
        <v>4293.6000000000004</v>
      </c>
      <c r="J7" s="123"/>
    </row>
    <row r="8" spans="1:10" s="124" customFormat="1" ht="16.5" thickBot="1" x14ac:dyDescent="0.3">
      <c r="A8" s="401">
        <v>3</v>
      </c>
      <c r="B8" s="402">
        <v>12</v>
      </c>
      <c r="C8" s="425" t="s">
        <v>298</v>
      </c>
      <c r="D8" s="405">
        <f>(365.04/36)*36.12</f>
        <v>366.2568</v>
      </c>
      <c r="E8" s="405">
        <f>+D8*$B8</f>
        <v>4395.0815999999995</v>
      </c>
      <c r="F8" s="405" t="s">
        <v>36</v>
      </c>
      <c r="G8" s="405" t="s">
        <v>36</v>
      </c>
      <c r="H8" s="405">
        <f>2070.84/B8</f>
        <v>172.57000000000002</v>
      </c>
      <c r="I8" s="424">
        <f>+H8*$B8</f>
        <v>2070.84</v>
      </c>
      <c r="J8" s="123"/>
    </row>
    <row r="9" spans="1:10" x14ac:dyDescent="0.25">
      <c r="A9" s="1094" t="s">
        <v>4</v>
      </c>
      <c r="B9" s="1095"/>
      <c r="C9" s="1095"/>
      <c r="D9" s="1399">
        <f>SUM(E6:E8)</f>
        <v>29703.643199999999</v>
      </c>
      <c r="E9" s="1399"/>
      <c r="F9" s="1399">
        <f>SUM(G6:G8)</f>
        <v>18402.75</v>
      </c>
      <c r="G9" s="1399"/>
      <c r="H9" s="1399">
        <f>SUM(I6:I8)</f>
        <v>14249.69</v>
      </c>
      <c r="I9" s="1403"/>
    </row>
    <row r="10" spans="1:10" x14ac:dyDescent="0.25">
      <c r="A10" s="1096" t="s">
        <v>5</v>
      </c>
      <c r="B10" s="1097"/>
      <c r="C10" s="1097"/>
      <c r="D10" s="1573">
        <v>0.2</v>
      </c>
      <c r="E10" s="1573"/>
      <c r="F10" s="1573">
        <v>0.25</v>
      </c>
      <c r="G10" s="1573"/>
      <c r="H10" s="1400">
        <v>0</v>
      </c>
      <c r="I10" s="1401"/>
    </row>
    <row r="11" spans="1:10" x14ac:dyDescent="0.25">
      <c r="A11" s="1199" t="s">
        <v>2</v>
      </c>
      <c r="B11" s="1200"/>
      <c r="C11" s="1200"/>
      <c r="D11" s="1400">
        <f>(D9)*15%</f>
        <v>4455.54648</v>
      </c>
      <c r="E11" s="1400"/>
      <c r="F11" s="1400">
        <f>(F9)*15%</f>
        <v>2760.4124999999999</v>
      </c>
      <c r="G11" s="1400"/>
      <c r="H11" s="1400">
        <f>(H9)*15%</f>
        <v>2137.4535000000001</v>
      </c>
      <c r="I11" s="1400"/>
    </row>
    <row r="12" spans="1:10" ht="16.5" thickBot="1" x14ac:dyDescent="0.3">
      <c r="A12" s="1189" t="s">
        <v>3</v>
      </c>
      <c r="B12" s="1190"/>
      <c r="C12" s="1190"/>
      <c r="D12" s="1396">
        <f>(D9)+D11</f>
        <v>34159.189679999996</v>
      </c>
      <c r="E12" s="1396"/>
      <c r="F12" s="1396">
        <f>(F9)+F11</f>
        <v>21163.162499999999</v>
      </c>
      <c r="G12" s="1396"/>
      <c r="H12" s="1396">
        <f>(H9-H10)+H11</f>
        <v>16387.143500000002</v>
      </c>
      <c r="I12" s="1397"/>
    </row>
    <row r="14" spans="1:10" x14ac:dyDescent="0.25">
      <c r="E14" s="129"/>
      <c r="F14" s="426"/>
      <c r="G14" s="129"/>
      <c r="I14" s="129"/>
    </row>
  </sheetData>
  <mergeCells count="21">
    <mergeCell ref="A11:C11"/>
    <mergeCell ref="D11:E11"/>
    <mergeCell ref="F11:G11"/>
    <mergeCell ref="H11:I11"/>
    <mergeCell ref="A12:C12"/>
    <mergeCell ref="D12:E12"/>
    <mergeCell ref="F12:G12"/>
    <mergeCell ref="H12:I12"/>
    <mergeCell ref="A9:C9"/>
    <mergeCell ref="D9:E9"/>
    <mergeCell ref="F9:G9"/>
    <mergeCell ref="H9:I9"/>
    <mergeCell ref="A10:C10"/>
    <mergeCell ref="D10:E10"/>
    <mergeCell ref="F10:G10"/>
    <mergeCell ref="H10:I10"/>
    <mergeCell ref="A3:I3"/>
    <mergeCell ref="A4:A5"/>
    <mergeCell ref="D4:E4"/>
    <mergeCell ref="F4:G4"/>
    <mergeCell ref="H4:I4"/>
  </mergeCells>
  <conditionalFormatting sqref="E6:E8 I6:I8">
    <cfRule type="expression" dxfId="174" priority="3">
      <formula>D6=""</formula>
    </cfRule>
  </conditionalFormatting>
  <conditionalFormatting sqref="G6:G8">
    <cfRule type="expression" dxfId="173" priority="240">
      <formula>F6=""</formula>
    </cfRule>
    <cfRule type="expression" dxfId="172" priority="241">
      <formula>F6=MIN($D6,#REF!,$H6)</formula>
    </cfRule>
  </conditionalFormatting>
  <conditionalFormatting sqref="E6:E8 G6:G8 I6:I8">
    <cfRule type="expression" dxfId="171" priority="242">
      <formula>D6=MIN($D6,$F6,$H6)</formula>
    </cfRule>
  </conditionalFormatting>
  <pageMargins left="0.25" right="0.25" top="0.75" bottom="0.75" header="0.3" footer="0.3"/>
  <pageSetup orientation="landscape" r:id="rId1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39C31-F6FB-4FE6-9A1F-52DE6670907B}">
  <sheetPr codeName="Hoja98"/>
  <dimension ref="A1:O17"/>
  <sheetViews>
    <sheetView showGridLines="0" workbookViewId="0"/>
  </sheetViews>
  <sheetFormatPr baseColWidth="10" defaultRowHeight="15.75" x14ac:dyDescent="0.25"/>
  <cols>
    <col min="1" max="1" width="3" style="34" bestFit="1" customWidth="1"/>
    <col min="2" max="2" width="6.28515625" style="34" bestFit="1" customWidth="1"/>
    <col min="3" max="3" width="22" style="34" bestFit="1" customWidth="1"/>
    <col min="4" max="4" width="12.85546875" style="34" bestFit="1" customWidth="1"/>
    <col min="5" max="5" width="14" style="34" bestFit="1" customWidth="1"/>
    <col min="6" max="9" width="11.140625" style="34" bestFit="1" customWidth="1"/>
    <col min="10" max="10" width="4.85546875" style="34" hidden="1" customWidth="1"/>
    <col min="11" max="11" width="10" style="34" hidden="1" customWidth="1"/>
    <col min="12" max="12" width="4.85546875" style="34" hidden="1" customWidth="1"/>
    <col min="13" max="13" width="10" style="34" hidden="1" customWidth="1"/>
    <col min="14" max="14" width="13.42578125" style="35" bestFit="1" customWidth="1"/>
    <col min="15" max="15" width="13.42578125" style="34" bestFit="1" customWidth="1"/>
    <col min="16" max="16384" width="11.42578125" style="34"/>
  </cols>
  <sheetData>
    <row r="1" spans="1:15" ht="16.5" thickBot="1" x14ac:dyDescent="0.3"/>
    <row r="2" spans="1:15" ht="16.5" thickBot="1" x14ac:dyDescent="0.3">
      <c r="A2" s="1100" t="s">
        <v>1</v>
      </c>
      <c r="B2" s="1101"/>
      <c r="C2" s="1101"/>
      <c r="D2" s="1101"/>
      <c r="E2" s="1101"/>
      <c r="F2" s="1101"/>
      <c r="G2" s="1101"/>
      <c r="H2" s="1101"/>
      <c r="I2" s="1101"/>
      <c r="J2" s="1101"/>
      <c r="K2" s="1101"/>
      <c r="L2" s="1101"/>
      <c r="M2" s="1102"/>
    </row>
    <row r="3" spans="1:15" x14ac:dyDescent="0.25">
      <c r="A3" s="1384" t="s">
        <v>6</v>
      </c>
      <c r="B3" s="43" t="s">
        <v>17</v>
      </c>
      <c r="C3" s="44" t="s">
        <v>560</v>
      </c>
      <c r="D3" s="1398" t="s">
        <v>53</v>
      </c>
      <c r="E3" s="1398"/>
      <c r="F3" s="1398" t="s">
        <v>52</v>
      </c>
      <c r="G3" s="1398"/>
      <c r="H3" s="1398" t="s">
        <v>49</v>
      </c>
      <c r="I3" s="1402"/>
      <c r="J3" s="1574" t="s">
        <v>329</v>
      </c>
      <c r="K3" s="1575"/>
      <c r="L3" s="1576" t="s">
        <v>49</v>
      </c>
      <c r="M3" s="1577"/>
    </row>
    <row r="4" spans="1:15" ht="16.5" thickBot="1" x14ac:dyDescent="0.3">
      <c r="A4" s="1385"/>
      <c r="B4" s="392" t="s">
        <v>11</v>
      </c>
      <c r="C4" s="45" t="s">
        <v>0</v>
      </c>
      <c r="D4" s="45" t="s">
        <v>14</v>
      </c>
      <c r="E4" s="45" t="s">
        <v>10</v>
      </c>
      <c r="F4" s="45" t="s">
        <v>14</v>
      </c>
      <c r="G4" s="45" t="s">
        <v>10</v>
      </c>
      <c r="H4" s="45" t="s">
        <v>14</v>
      </c>
      <c r="I4" s="393" t="s">
        <v>10</v>
      </c>
      <c r="J4" s="793" t="s">
        <v>14</v>
      </c>
      <c r="K4" s="794" t="s">
        <v>10</v>
      </c>
      <c r="L4" s="794" t="s">
        <v>14</v>
      </c>
      <c r="M4" s="795" t="s">
        <v>10</v>
      </c>
    </row>
    <row r="5" spans="1:15" s="346" customFormat="1" x14ac:dyDescent="0.25">
      <c r="A5" s="782">
        <v>1</v>
      </c>
      <c r="B5" s="507">
        <v>89</v>
      </c>
      <c r="C5" s="796" t="s">
        <v>45</v>
      </c>
      <c r="D5" s="510">
        <f>(378.15/B5)*36.12</f>
        <v>153.46941573033706</v>
      </c>
      <c r="E5" s="510">
        <f>+D5*B5</f>
        <v>13658.777999999998</v>
      </c>
      <c r="F5" s="510" t="s">
        <v>36</v>
      </c>
      <c r="G5" s="510" t="s">
        <v>36</v>
      </c>
      <c r="H5" s="510" t="s">
        <v>36</v>
      </c>
      <c r="I5" s="510" t="s">
        <v>36</v>
      </c>
      <c r="J5" s="648"/>
      <c r="K5" s="648">
        <f>+J5*B5</f>
        <v>0</v>
      </c>
      <c r="L5" s="648"/>
      <c r="M5" s="649">
        <f>+L5*$B5</f>
        <v>0</v>
      </c>
      <c r="N5" s="345"/>
    </row>
    <row r="6" spans="1:15" s="346" customFormat="1" x14ac:dyDescent="0.25">
      <c r="A6" s="421">
        <v>2</v>
      </c>
      <c r="B6" s="647">
        <v>8</v>
      </c>
      <c r="C6" s="797" t="s">
        <v>561</v>
      </c>
      <c r="D6" s="648">
        <f>(249.76/B6)*36.12</f>
        <v>1127.6663999999998</v>
      </c>
      <c r="E6" s="648">
        <f t="shared" ref="E6" si="0">+D6*B6</f>
        <v>9021.3311999999987</v>
      </c>
      <c r="F6" s="648" t="s">
        <v>36</v>
      </c>
      <c r="G6" s="648" t="s">
        <v>36</v>
      </c>
      <c r="H6" s="648" t="s">
        <v>36</v>
      </c>
      <c r="I6" s="648" t="s">
        <v>36</v>
      </c>
      <c r="J6" s="648"/>
      <c r="K6" s="648">
        <f t="shared" ref="K6:K9" si="1">+J6*B6</f>
        <v>0</v>
      </c>
      <c r="L6" s="648"/>
      <c r="M6" s="649">
        <f>+L6*$B6</f>
        <v>0</v>
      </c>
      <c r="N6" s="345"/>
    </row>
    <row r="7" spans="1:15" s="346" customFormat="1" x14ac:dyDescent="0.25">
      <c r="A7" s="421">
        <v>3</v>
      </c>
      <c r="B7" s="647">
        <v>1</v>
      </c>
      <c r="C7" s="797" t="s">
        <v>399</v>
      </c>
      <c r="D7" s="648" t="s">
        <v>36</v>
      </c>
      <c r="E7" s="648" t="s">
        <v>36</v>
      </c>
      <c r="F7" s="648">
        <f>750*0.75</f>
        <v>562.5</v>
      </c>
      <c r="G7" s="648">
        <f>+F7*B7</f>
        <v>562.5</v>
      </c>
      <c r="H7" s="648">
        <v>181.6</v>
      </c>
      <c r="I7" s="648">
        <f>+H7*B7</f>
        <v>181.6</v>
      </c>
      <c r="J7" s="648"/>
      <c r="K7" s="648">
        <f t="shared" si="1"/>
        <v>0</v>
      </c>
      <c r="L7" s="648"/>
      <c r="M7" s="649" t="s">
        <v>36</v>
      </c>
      <c r="N7" s="345"/>
    </row>
    <row r="8" spans="1:15" s="346" customFormat="1" x14ac:dyDescent="0.25">
      <c r="A8" s="421">
        <v>4</v>
      </c>
      <c r="B8" s="647">
        <v>1</v>
      </c>
      <c r="C8" s="797" t="s">
        <v>400</v>
      </c>
      <c r="D8" s="648" t="s">
        <v>36</v>
      </c>
      <c r="E8" s="648" t="s">
        <v>36</v>
      </c>
      <c r="F8" s="648">
        <f>850*0.75</f>
        <v>637.5</v>
      </c>
      <c r="G8" s="648">
        <f>+F8*B8</f>
        <v>637.5</v>
      </c>
      <c r="H8" s="648">
        <v>403.35</v>
      </c>
      <c r="I8" s="648">
        <f>+H8*B8</f>
        <v>403.35</v>
      </c>
      <c r="J8" s="648"/>
      <c r="K8" s="648">
        <f t="shared" si="1"/>
        <v>0</v>
      </c>
      <c r="L8" s="648"/>
      <c r="M8" s="649">
        <f>+L8*$B8</f>
        <v>0</v>
      </c>
      <c r="N8" s="345"/>
      <c r="O8" s="798"/>
    </row>
    <row r="9" spans="1:15" s="346" customFormat="1" ht="16.5" thickBot="1" x14ac:dyDescent="0.3">
      <c r="A9" s="421">
        <v>5</v>
      </c>
      <c r="B9" s="647">
        <v>1</v>
      </c>
      <c r="C9" s="797" t="s">
        <v>562</v>
      </c>
      <c r="D9" s="648" t="s">
        <v>36</v>
      </c>
      <c r="E9" s="648" t="s">
        <v>36</v>
      </c>
      <c r="F9" s="648">
        <f>550*0.75</f>
        <v>412.5</v>
      </c>
      <c r="G9" s="648">
        <f>+F9*B9</f>
        <v>412.5</v>
      </c>
      <c r="H9" s="648">
        <v>456.5</v>
      </c>
      <c r="I9" s="648">
        <f>+H9*B9</f>
        <v>456.5</v>
      </c>
      <c r="J9" s="648"/>
      <c r="K9" s="648">
        <f t="shared" si="1"/>
        <v>0</v>
      </c>
      <c r="L9" s="648"/>
      <c r="M9" s="649">
        <f>+L9*$B9</f>
        <v>0</v>
      </c>
      <c r="N9" s="345"/>
    </row>
    <row r="10" spans="1:15" s="35" customFormat="1" x14ac:dyDescent="0.25">
      <c r="A10" s="1094" t="s">
        <v>4</v>
      </c>
      <c r="B10" s="1095"/>
      <c r="C10" s="1095"/>
      <c r="D10" s="1399">
        <f>SUM(E5:E9)</f>
        <v>22680.109199999999</v>
      </c>
      <c r="E10" s="1399"/>
      <c r="F10" s="1399">
        <f>SUM(G5:G9)</f>
        <v>1612.5</v>
      </c>
      <c r="G10" s="1399"/>
      <c r="H10" s="1578">
        <f>SUM(I5:I9)</f>
        <v>1041.45</v>
      </c>
      <c r="I10" s="1578"/>
      <c r="J10" s="1579">
        <f>SUM(K5:K9)</f>
        <v>0</v>
      </c>
      <c r="K10" s="1580"/>
      <c r="L10" s="1186">
        <f>SUM(M5:M9)</f>
        <v>0</v>
      </c>
      <c r="M10" s="1188"/>
    </row>
    <row r="11" spans="1:15" s="35" customFormat="1" x14ac:dyDescent="0.25">
      <c r="A11" s="1096" t="s">
        <v>5</v>
      </c>
      <c r="B11" s="1097"/>
      <c r="C11" s="1097"/>
      <c r="D11" s="1400"/>
      <c r="E11" s="1400"/>
      <c r="F11" s="1573">
        <v>0.25</v>
      </c>
      <c r="G11" s="1573"/>
      <c r="H11" s="1400"/>
      <c r="I11" s="1400"/>
      <c r="J11" s="1176">
        <v>0</v>
      </c>
      <c r="K11" s="1196"/>
      <c r="L11" s="1176">
        <v>0</v>
      </c>
      <c r="M11" s="1177"/>
    </row>
    <row r="12" spans="1:15" s="35" customFormat="1" x14ac:dyDescent="0.25">
      <c r="A12" s="1096" t="s">
        <v>2</v>
      </c>
      <c r="B12" s="1097"/>
      <c r="C12" s="1097"/>
      <c r="D12" s="1400">
        <f>+D10*0.15</f>
        <v>3402.0163799999996</v>
      </c>
      <c r="E12" s="1400"/>
      <c r="F12" s="1400">
        <f>+F10*0.15</f>
        <v>241.875</v>
      </c>
      <c r="G12" s="1400"/>
      <c r="H12" s="1400">
        <v>0</v>
      </c>
      <c r="I12" s="1400"/>
      <c r="J12" s="1176">
        <v>0</v>
      </c>
      <c r="K12" s="1196"/>
      <c r="L12" s="1176">
        <v>0</v>
      </c>
      <c r="M12" s="1177"/>
    </row>
    <row r="13" spans="1:15" s="35" customFormat="1" ht="16.5" thickBot="1" x14ac:dyDescent="0.3">
      <c r="A13" s="1098" t="s">
        <v>3</v>
      </c>
      <c r="B13" s="1099"/>
      <c r="C13" s="1099"/>
      <c r="D13" s="1437">
        <f>(D10)+D12</f>
        <v>26082.12558</v>
      </c>
      <c r="E13" s="1437"/>
      <c r="F13" s="1437">
        <f>(F10)+F12</f>
        <v>1854.375</v>
      </c>
      <c r="G13" s="1437"/>
      <c r="H13" s="1437">
        <f>(H10)+H12</f>
        <v>1041.45</v>
      </c>
      <c r="I13" s="1437"/>
      <c r="J13" s="1457">
        <f>(J10)+J12</f>
        <v>0</v>
      </c>
      <c r="K13" s="1458"/>
      <c r="L13" s="1457">
        <f>(L10)+L12</f>
        <v>0</v>
      </c>
      <c r="M13" s="1346"/>
    </row>
    <row r="15" spans="1:15" s="35" customFormat="1" x14ac:dyDescent="0.25">
      <c r="A15" s="34"/>
      <c r="B15" s="34"/>
      <c r="C15" s="34"/>
      <c r="D15" s="34"/>
      <c r="E15" s="40"/>
      <c r="F15" s="40"/>
      <c r="G15" s="40"/>
      <c r="H15" s="34"/>
      <c r="I15" s="40"/>
      <c r="J15" s="40"/>
      <c r="K15" s="40"/>
      <c r="L15" s="34"/>
      <c r="M15" s="40"/>
    </row>
    <row r="17" spans="7:7" x14ac:dyDescent="0.25">
      <c r="G17" s="799"/>
    </row>
  </sheetData>
  <mergeCells count="31">
    <mergeCell ref="D11:E11"/>
    <mergeCell ref="F11:G11"/>
    <mergeCell ref="L13:M13"/>
    <mergeCell ref="A12:C12"/>
    <mergeCell ref="D12:E12"/>
    <mergeCell ref="F12:G12"/>
    <mergeCell ref="H12:I12"/>
    <mergeCell ref="J12:K12"/>
    <mergeCell ref="L12:M12"/>
    <mergeCell ref="A13:C13"/>
    <mergeCell ref="D13:E13"/>
    <mergeCell ref="F13:G13"/>
    <mergeCell ref="H13:I13"/>
    <mergeCell ref="J13:K13"/>
    <mergeCell ref="H11:I11"/>
    <mergeCell ref="J11:K11"/>
    <mergeCell ref="L10:M10"/>
    <mergeCell ref="A2:M2"/>
    <mergeCell ref="A3:A4"/>
    <mergeCell ref="D3:E3"/>
    <mergeCell ref="F3:G3"/>
    <mergeCell ref="H3:I3"/>
    <mergeCell ref="J3:K3"/>
    <mergeCell ref="L3:M3"/>
    <mergeCell ref="A10:C10"/>
    <mergeCell ref="D10:E10"/>
    <mergeCell ref="F10:G10"/>
    <mergeCell ref="H10:I10"/>
    <mergeCell ref="J10:K10"/>
    <mergeCell ref="L11:M11"/>
    <mergeCell ref="A11:C11"/>
  </mergeCells>
  <conditionalFormatting sqref="G6:G9 I5:I9 M5:M9 K5:K9 E5:E9">
    <cfRule type="expression" dxfId="170" priority="3">
      <formula>D5=""</formula>
    </cfRule>
  </conditionalFormatting>
  <conditionalFormatting sqref="G5:G9 I5:I9 K5:K9 M5:M9 E5:E9">
    <cfRule type="expression" dxfId="169" priority="4">
      <formula>D5=MIN($D5,$F5,$H5,$J5,$L5)</formula>
    </cfRule>
  </conditionalFormatting>
  <conditionalFormatting sqref="G5">
    <cfRule type="expression" dxfId="168" priority="1">
      <formula>F5=""</formula>
    </cfRule>
  </conditionalFormatting>
  <conditionalFormatting sqref="G5 K5:K9">
    <cfRule type="expression" dxfId="167" priority="2">
      <formula>F5=MIN($D5,$F5,$H5,$L5)</formula>
    </cfRule>
  </conditionalFormatting>
  <pageMargins left="0.25" right="0.25" top="0.75" bottom="0.75" header="0.3" footer="0.3"/>
  <pageSetup orientation="landscape" r:id="rId1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2B5DD-4BD9-432D-AFD3-5A77299DD546}">
  <sheetPr codeName="Hoja99"/>
  <dimension ref="A2:J13"/>
  <sheetViews>
    <sheetView showGridLines="0" workbookViewId="0">
      <selection activeCell="D4" sqref="D4:E4"/>
    </sheetView>
  </sheetViews>
  <sheetFormatPr baseColWidth="10" defaultRowHeight="15.75" x14ac:dyDescent="0.25"/>
  <cols>
    <col min="1" max="1" width="3" style="108" bestFit="1" customWidth="1"/>
    <col min="2" max="2" width="6.28515625" style="108" bestFit="1" customWidth="1"/>
    <col min="3" max="3" width="20.5703125" style="108" bestFit="1" customWidth="1"/>
    <col min="4" max="4" width="12.85546875" style="108" bestFit="1" customWidth="1"/>
    <col min="5" max="5" width="14" style="108" bestFit="1" customWidth="1"/>
    <col min="6" max="6" width="12.85546875" style="108" bestFit="1" customWidth="1"/>
    <col min="7" max="7" width="14" style="108" bestFit="1" customWidth="1"/>
    <col min="8" max="9" width="12.85546875" style="108" bestFit="1" customWidth="1"/>
    <col min="10" max="10" width="13.42578125" style="109" bestFit="1" customWidth="1"/>
    <col min="11" max="11" width="13.42578125" style="108" bestFit="1" customWidth="1"/>
    <col min="12" max="16384" width="11.42578125" style="108"/>
  </cols>
  <sheetData>
    <row r="2" spans="1:10" ht="16.5" thickBot="1" x14ac:dyDescent="0.3"/>
    <row r="3" spans="1:10" s="34" customFormat="1" ht="16.5" thickBot="1" x14ac:dyDescent="0.3">
      <c r="A3" s="1178" t="s">
        <v>1</v>
      </c>
      <c r="B3" s="1180"/>
      <c r="C3" s="1180"/>
      <c r="D3" s="1180"/>
      <c r="E3" s="1180"/>
      <c r="F3" s="1180"/>
      <c r="G3" s="1180"/>
      <c r="H3" s="1180"/>
      <c r="I3" s="1181"/>
      <c r="J3" s="35"/>
    </row>
    <row r="4" spans="1:10" s="34" customFormat="1" x14ac:dyDescent="0.25">
      <c r="A4" s="1384" t="s">
        <v>6</v>
      </c>
      <c r="B4" s="43" t="s">
        <v>17</v>
      </c>
      <c r="C4" s="44" t="s">
        <v>567</v>
      </c>
      <c r="D4" s="1398" t="s">
        <v>566</v>
      </c>
      <c r="E4" s="1398"/>
      <c r="F4" s="1398" t="s">
        <v>438</v>
      </c>
      <c r="G4" s="1398"/>
      <c r="H4" s="1398" t="s">
        <v>436</v>
      </c>
      <c r="I4" s="1402"/>
      <c r="J4" s="35"/>
    </row>
    <row r="5" spans="1:10" s="34" customFormat="1" ht="16.5" thickBot="1" x14ac:dyDescent="0.3">
      <c r="A5" s="1385"/>
      <c r="B5" s="392" t="s">
        <v>11</v>
      </c>
      <c r="C5" s="45" t="s">
        <v>0</v>
      </c>
      <c r="D5" s="45" t="s">
        <v>14</v>
      </c>
      <c r="E5" s="45" t="s">
        <v>10</v>
      </c>
      <c r="F5" s="45" t="s">
        <v>14</v>
      </c>
      <c r="G5" s="45" t="s">
        <v>10</v>
      </c>
      <c r="H5" s="45" t="s">
        <v>14</v>
      </c>
      <c r="I5" s="393" t="s">
        <v>10</v>
      </c>
      <c r="J5" s="35"/>
    </row>
    <row r="6" spans="1:10" s="124" customFormat="1" x14ac:dyDescent="0.25">
      <c r="A6" s="800">
        <v>1</v>
      </c>
      <c r="B6" s="396">
        <v>30</v>
      </c>
      <c r="C6" s="119" t="s">
        <v>563</v>
      </c>
      <c r="D6" s="399">
        <f>5000/B6</f>
        <v>166.66666666666666</v>
      </c>
      <c r="E6" s="399">
        <f>+D6*$B6</f>
        <v>5000</v>
      </c>
      <c r="F6" s="399">
        <f>3900/B6</f>
        <v>130</v>
      </c>
      <c r="G6" s="399">
        <f>+F6*$B6</f>
        <v>3900</v>
      </c>
      <c r="H6" s="399">
        <v>210</v>
      </c>
      <c r="I6" s="400">
        <f>+H6*$B6</f>
        <v>6300</v>
      </c>
      <c r="J6" s="123"/>
    </row>
    <row r="7" spans="1:10" s="124" customFormat="1" x14ac:dyDescent="0.25">
      <c r="A7" s="421">
        <v>2</v>
      </c>
      <c r="B7" s="422">
        <v>30</v>
      </c>
      <c r="C7" s="127" t="s">
        <v>564</v>
      </c>
      <c r="D7" s="423">
        <f>2200/B7</f>
        <v>73.333333333333329</v>
      </c>
      <c r="E7" s="423">
        <f>+D7*$B7</f>
        <v>2200</v>
      </c>
      <c r="F7" s="423" t="s">
        <v>36</v>
      </c>
      <c r="G7" s="399" t="s">
        <v>36</v>
      </c>
      <c r="H7" s="423">
        <v>90</v>
      </c>
      <c r="I7" s="424">
        <f>+H7*$B7</f>
        <v>2700</v>
      </c>
      <c r="J7" s="123"/>
    </row>
    <row r="8" spans="1:10" s="124" customFormat="1" ht="16.5" thickBot="1" x14ac:dyDescent="0.3">
      <c r="A8" s="401">
        <v>3</v>
      </c>
      <c r="B8" s="402">
        <v>10</v>
      </c>
      <c r="C8" s="425" t="s">
        <v>565</v>
      </c>
      <c r="D8" s="405">
        <f>1500/B8</f>
        <v>150</v>
      </c>
      <c r="E8" s="405">
        <f>+D8*$B8</f>
        <v>1500</v>
      </c>
      <c r="F8" s="405" t="s">
        <v>36</v>
      </c>
      <c r="G8" s="405" t="s">
        <v>36</v>
      </c>
      <c r="H8" s="405">
        <v>225</v>
      </c>
      <c r="I8" s="424">
        <f>+H8*$B8</f>
        <v>2250</v>
      </c>
      <c r="J8" s="123"/>
    </row>
    <row r="9" spans="1:10" x14ac:dyDescent="0.25">
      <c r="A9" s="1094" t="s">
        <v>4</v>
      </c>
      <c r="B9" s="1095"/>
      <c r="C9" s="1095"/>
      <c r="D9" s="1399">
        <f>SUM(E6:E8)</f>
        <v>8700</v>
      </c>
      <c r="E9" s="1399"/>
      <c r="F9" s="1399">
        <f>SUM(G6:G8)</f>
        <v>3900</v>
      </c>
      <c r="G9" s="1399"/>
      <c r="H9" s="1399">
        <f>SUM(I6:I8)</f>
        <v>11250</v>
      </c>
      <c r="I9" s="1403"/>
    </row>
    <row r="10" spans="1:10" x14ac:dyDescent="0.25">
      <c r="A10" s="1199" t="s">
        <v>2</v>
      </c>
      <c r="B10" s="1200"/>
      <c r="C10" s="1200"/>
      <c r="D10" s="1400">
        <f>(D9)*15%</f>
        <v>1305</v>
      </c>
      <c r="E10" s="1400"/>
      <c r="F10" s="1400">
        <f>(F9)*15%</f>
        <v>585</v>
      </c>
      <c r="G10" s="1400"/>
      <c r="H10" s="1400">
        <f>(H9)*15%</f>
        <v>1687.5</v>
      </c>
      <c r="I10" s="1401"/>
    </row>
    <row r="11" spans="1:10" ht="16.5" thickBot="1" x14ac:dyDescent="0.3">
      <c r="A11" s="1189" t="s">
        <v>3</v>
      </c>
      <c r="B11" s="1190"/>
      <c r="C11" s="1190"/>
      <c r="D11" s="1396">
        <f>(D9)+D10</f>
        <v>10005</v>
      </c>
      <c r="E11" s="1396"/>
      <c r="F11" s="1396">
        <f>(F9)+F10</f>
        <v>4485</v>
      </c>
      <c r="G11" s="1396"/>
      <c r="H11" s="1396">
        <f>(H9)+H10</f>
        <v>12937.5</v>
      </c>
      <c r="I11" s="1397"/>
    </row>
    <row r="13" spans="1:10" x14ac:dyDescent="0.25">
      <c r="E13" s="129"/>
      <c r="F13" s="426"/>
      <c r="G13" s="129"/>
      <c r="I13" s="129"/>
    </row>
  </sheetData>
  <mergeCells count="17">
    <mergeCell ref="A11:C11"/>
    <mergeCell ref="D11:E11"/>
    <mergeCell ref="F11:G11"/>
    <mergeCell ref="H11:I11"/>
    <mergeCell ref="A10:C10"/>
    <mergeCell ref="D10:E10"/>
    <mergeCell ref="F10:G10"/>
    <mergeCell ref="H10:I10"/>
    <mergeCell ref="A9:C9"/>
    <mergeCell ref="D9:E9"/>
    <mergeCell ref="F9:G9"/>
    <mergeCell ref="H9:I9"/>
    <mergeCell ref="A3:I3"/>
    <mergeCell ref="A4:A5"/>
    <mergeCell ref="D4:E4"/>
    <mergeCell ref="F4:G4"/>
    <mergeCell ref="H4:I4"/>
  </mergeCells>
  <conditionalFormatting sqref="E6:E8 I6:I8">
    <cfRule type="expression" dxfId="166" priority="1">
      <formula>D6=""</formula>
    </cfRule>
  </conditionalFormatting>
  <conditionalFormatting sqref="G6:G8">
    <cfRule type="expression" dxfId="165" priority="2">
      <formula>F6=""</formula>
    </cfRule>
    <cfRule type="expression" dxfId="164" priority="3">
      <formula>F6=MIN($D6,#REF!,$H6)</formula>
    </cfRule>
  </conditionalFormatting>
  <conditionalFormatting sqref="E6:E8 G6:G8 I6:I8">
    <cfRule type="expression" dxfId="163" priority="4">
      <formula>D6=MIN($D6,$F6,$H6)</formula>
    </cfRule>
  </conditionalFormatting>
  <pageMargins left="0.25" right="0.25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163</vt:i4>
      </vt:variant>
    </vt:vector>
  </HeadingPairs>
  <TitlesOfParts>
    <vt:vector size="163" baseType="lpstr">
      <vt:lpstr>ME-01112021-01</vt:lpstr>
      <vt:lpstr>ME-01112021-03</vt:lpstr>
      <vt:lpstr>SI-27102021-201</vt:lpstr>
      <vt:lpstr>ME-01112021-02</vt:lpstr>
      <vt:lpstr>IN-01112021-08</vt:lpstr>
      <vt:lpstr>ME-03112021-22</vt:lpstr>
      <vt:lpstr>ME-01112021-05</vt:lpstr>
      <vt:lpstr>ME-04112021-47</vt:lpstr>
      <vt:lpstr>BG-04112021-34</vt:lpstr>
      <vt:lpstr>ME-04112021-48</vt:lpstr>
      <vt:lpstr>ME-28102021-221</vt:lpstr>
      <vt:lpstr>ME-04112021-36</vt:lpstr>
      <vt:lpstr>ME-04112021-44</vt:lpstr>
      <vt:lpstr>ME-08112021-58</vt:lpstr>
      <vt:lpstr>IT-10112021-94</vt:lpstr>
      <vt:lpstr>ME-09112021-89</vt:lpstr>
      <vt:lpstr>PAPELERIA</vt:lpstr>
      <vt:lpstr>BG-10112021-96</vt:lpstr>
      <vt:lpstr>ME-10112021-99</vt:lpstr>
      <vt:lpstr>ME-15112021-121</vt:lpstr>
      <vt:lpstr>HS-11112021-108</vt:lpstr>
      <vt:lpstr>ME-11112021-103</vt:lpstr>
      <vt:lpstr>ME-11112021-112</vt:lpstr>
      <vt:lpstr>ME-15112021-138</vt:lpstr>
      <vt:lpstr>ME-16112021-24</vt:lpstr>
      <vt:lpstr>ME-16112021-105</vt:lpstr>
      <vt:lpstr>ME-18112021-162</vt:lpstr>
      <vt:lpstr>MA-19112021-170</vt:lpstr>
      <vt:lpstr>BG-19112021-168</vt:lpstr>
      <vt:lpstr>ME-18112021-163</vt:lpstr>
      <vt:lpstr>ME-19112021-176</vt:lpstr>
      <vt:lpstr>ME-19112021-176 (2)</vt:lpstr>
      <vt:lpstr>ME-22112021-181</vt:lpstr>
      <vt:lpstr>ME-22112021-179</vt:lpstr>
      <vt:lpstr>HS-22112021-182</vt:lpstr>
      <vt:lpstr>ME-22112021-190</vt:lpstr>
      <vt:lpstr>ME-22112021-178</vt:lpstr>
      <vt:lpstr>VE-23112021-251</vt:lpstr>
      <vt:lpstr>CT-29112021-234</vt:lpstr>
      <vt:lpstr>ME-29112021-247</vt:lpstr>
      <vt:lpstr>HS-25112021-227</vt:lpstr>
      <vt:lpstr>BG-01122021-03</vt:lpstr>
      <vt:lpstr>ME-29112021-248</vt:lpstr>
      <vt:lpstr>ME-29112021-249</vt:lpstr>
      <vt:lpstr>ME-22112021-178 (2)</vt:lpstr>
      <vt:lpstr>BG-01122021-02</vt:lpstr>
      <vt:lpstr>ME-22112021-190 (2)</vt:lpstr>
      <vt:lpstr>ME-06122021-22</vt:lpstr>
      <vt:lpstr>IN-02122021-18</vt:lpstr>
      <vt:lpstr>BG-06122021-23</vt:lpstr>
      <vt:lpstr>ME-06122021-21</vt:lpstr>
      <vt:lpstr>ME-07122021-41</vt:lpstr>
      <vt:lpstr>ME-07122021-40</vt:lpstr>
      <vt:lpstr>ME-09122021-47</vt:lpstr>
      <vt:lpstr>ME-09122021-46</vt:lpstr>
      <vt:lpstr>IN-09122021-70</vt:lpstr>
      <vt:lpstr>ME-13122021-81</vt:lpstr>
      <vt:lpstr>BG-13122021-80</vt:lpstr>
      <vt:lpstr>BG-13122021-79</vt:lpstr>
      <vt:lpstr>ME-22112021-178 (3)</vt:lpstr>
      <vt:lpstr>ME-10122021-74</vt:lpstr>
      <vt:lpstr>ME-13122021-80</vt:lpstr>
      <vt:lpstr>ME-07122021-38</vt:lpstr>
      <vt:lpstr>HS-13122021-77</vt:lpstr>
      <vt:lpstr>ME-15122021-102</vt:lpstr>
      <vt:lpstr>BG-14122021-88</vt:lpstr>
      <vt:lpstr>ME-17122021-131</vt:lpstr>
      <vt:lpstr>BG-18122021-137</vt:lpstr>
      <vt:lpstr>BG-18122021-138</vt:lpstr>
      <vt:lpstr>ME-17122021-132</vt:lpstr>
      <vt:lpstr>ME-20122021-154</vt:lpstr>
      <vt:lpstr>BG-23122021-169</vt:lpstr>
      <vt:lpstr>HS-21122021-160</vt:lpstr>
      <vt:lpstr>ME-27122021-203</vt:lpstr>
      <vt:lpstr>ME-27122021-189</vt:lpstr>
      <vt:lpstr>BG-27122021-186</vt:lpstr>
      <vt:lpstr>ME-27122021-199</vt:lpstr>
      <vt:lpstr>ME-27122021-188</vt:lpstr>
      <vt:lpstr>ME-04012022-14</vt:lpstr>
      <vt:lpstr>ME-07012022-50</vt:lpstr>
      <vt:lpstr>HS-07012022-34</vt:lpstr>
      <vt:lpstr>ME-07012022-48</vt:lpstr>
      <vt:lpstr>ME-07012022-49</vt:lpstr>
      <vt:lpstr>BG-10012022-54</vt:lpstr>
      <vt:lpstr>BG-10012022-55</vt:lpstr>
      <vt:lpstr>BG-10012022-57</vt:lpstr>
      <vt:lpstr>BG-10012022-57 (2)</vt:lpstr>
      <vt:lpstr>HS-07012022-34 (2)</vt:lpstr>
      <vt:lpstr>HS-12012022-75</vt:lpstr>
      <vt:lpstr>BG-17012022-98</vt:lpstr>
      <vt:lpstr>ME-13012022-83</vt:lpstr>
      <vt:lpstr>ME-12012022-72</vt:lpstr>
      <vt:lpstr>ME-13012022-84</vt:lpstr>
      <vt:lpstr>BG-18012022-127</vt:lpstr>
      <vt:lpstr>BG-17012022-106</vt:lpstr>
      <vt:lpstr>ME-19012022-136</vt:lpstr>
      <vt:lpstr>ME-17012022-100</vt:lpstr>
      <vt:lpstr>ME-14012022-94</vt:lpstr>
      <vt:lpstr>BG-17012022-97</vt:lpstr>
      <vt:lpstr>ME-17012022-100 (2)</vt:lpstr>
      <vt:lpstr>ME-19012022-136 (2)</vt:lpstr>
      <vt:lpstr>ME-14012022-96</vt:lpstr>
      <vt:lpstr>BG-24012022-163</vt:lpstr>
      <vt:lpstr>BG-20012022-145</vt:lpstr>
      <vt:lpstr>ME-24012022-160</vt:lpstr>
      <vt:lpstr>ME-24012022-162</vt:lpstr>
      <vt:lpstr>ME-26012022-199</vt:lpstr>
      <vt:lpstr>BG-26012022-200</vt:lpstr>
      <vt:lpstr>ME-27012022-203</vt:lpstr>
      <vt:lpstr>ME-24012022-73</vt:lpstr>
      <vt:lpstr>ME-24012022-160 (2)</vt:lpstr>
      <vt:lpstr>ME-27012022-205</vt:lpstr>
      <vt:lpstr>ME-27012022-204</vt:lpstr>
      <vt:lpstr>BG-01022022-008</vt:lpstr>
      <vt:lpstr>BG-01022022-007</vt:lpstr>
      <vt:lpstr>BG-07022022-26</vt:lpstr>
      <vt:lpstr>HS-04022022-25</vt:lpstr>
      <vt:lpstr>BG-07022022-27</vt:lpstr>
      <vt:lpstr>ME-08022022-41</vt:lpstr>
      <vt:lpstr>ME-08022022-42</vt:lpstr>
      <vt:lpstr>ME-08022022-54</vt:lpstr>
      <vt:lpstr>ME-07022022-55</vt:lpstr>
      <vt:lpstr>ME-08022022-41 (2)</vt:lpstr>
      <vt:lpstr>ME-10022022-71</vt:lpstr>
      <vt:lpstr>BG-10022022-56</vt:lpstr>
      <vt:lpstr>BG-15022022-74</vt:lpstr>
      <vt:lpstr>ME-15022022-82</vt:lpstr>
      <vt:lpstr>BG-15022022-90</vt:lpstr>
      <vt:lpstr>ME-10022022-83</vt:lpstr>
      <vt:lpstr>BG-15022022-85</vt:lpstr>
      <vt:lpstr>ME-15022022-81</vt:lpstr>
      <vt:lpstr>BG-18022022-99</vt:lpstr>
      <vt:lpstr>BG-21022022-118</vt:lpstr>
      <vt:lpstr>carrocería</vt:lpstr>
      <vt:lpstr>ME-23022022-136</vt:lpstr>
      <vt:lpstr>ME-21022022-125</vt:lpstr>
      <vt:lpstr>ME-21022022-126</vt:lpstr>
      <vt:lpstr>ME-24012022-162 (2)</vt:lpstr>
      <vt:lpstr>ME-23022022-147</vt:lpstr>
      <vt:lpstr>ME-23022022-147 (2)</vt:lpstr>
      <vt:lpstr>ME-21022022-125 (2)</vt:lpstr>
      <vt:lpstr>HS-25022022-149</vt:lpstr>
      <vt:lpstr>ME-28022022-153</vt:lpstr>
      <vt:lpstr>ME-01032022-009</vt:lpstr>
      <vt:lpstr>BG-24022022-159</vt:lpstr>
      <vt:lpstr>BG-04032022-17</vt:lpstr>
      <vt:lpstr>ME-01032022-07</vt:lpstr>
      <vt:lpstr>ME-01032022-07 (2)</vt:lpstr>
      <vt:lpstr>ME-08032022-38</vt:lpstr>
      <vt:lpstr>BG-04032022-20</vt:lpstr>
      <vt:lpstr>ME-08032022-60</vt:lpstr>
      <vt:lpstr>ME-09032022-56</vt:lpstr>
      <vt:lpstr>ME-07032022-41</vt:lpstr>
      <vt:lpstr>ME-07032022-24</vt:lpstr>
      <vt:lpstr>ME-11032022-62</vt:lpstr>
      <vt:lpstr>ME-11032022-66</vt:lpstr>
      <vt:lpstr>HS-10032022-91</vt:lpstr>
      <vt:lpstr>ME-16032022-96</vt:lpstr>
      <vt:lpstr>BG-11032022-82</vt:lpstr>
      <vt:lpstr>Hoja3</vt:lpstr>
      <vt:lpstr>TC</vt:lpstr>
      <vt:lpstr>CC 5A 3P</vt:lpstr>
      <vt:lpstr>TIPO DE CAMBIO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Asistente Compras</dc:creator>
  <cp:lastModifiedBy>Asistente Compras</cp:lastModifiedBy>
  <cp:lastPrinted>2022-03-16T18:04:30Z</cp:lastPrinted>
  <dcterms:created xsi:type="dcterms:W3CDTF">2021-08-24T14:46:55Z</dcterms:created>
  <dcterms:modified xsi:type="dcterms:W3CDTF">2022-03-16T20:16:19Z</dcterms:modified>
</cp:coreProperties>
</file>