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FS AIRLAND\AirlandFS Manual\"/>
    </mc:Choice>
  </mc:AlternateContent>
  <xr:revisionPtr revIDLastSave="0" documentId="13_ncr:1_{5766D2BE-3C63-46BF-8BB2-0C91B2DBEEA4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Helo" sheetId="3" r:id="rId1"/>
  </sheets>
  <definedNames>
    <definedName name="scale">Helo!$D$4</definedName>
    <definedName name="scale2">Helo!$D$5</definedName>
    <definedName name="simcenter">Helo!$P$7</definedName>
    <definedName name="slug">Helo!$N$26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3" i="3" l="1"/>
  <c r="I80" i="3" l="1"/>
  <c r="L41" i="3"/>
  <c r="L40" i="3"/>
  <c r="L39" i="3"/>
  <c r="L38" i="3"/>
  <c r="L37" i="3"/>
  <c r="L36" i="3"/>
  <c r="L35" i="3"/>
  <c r="L34" i="3"/>
  <c r="L33" i="3"/>
  <c r="L32" i="3"/>
  <c r="L31" i="3"/>
  <c r="L30" i="3"/>
  <c r="D2" i="3"/>
  <c r="D5" i="3" s="1"/>
  <c r="D4" i="3"/>
  <c r="Q24" i="3" s="1"/>
  <c r="B84" i="3"/>
  <c r="B85" i="3" s="1"/>
  <c r="A41" i="3"/>
  <c r="A61" i="3" s="1"/>
  <c r="A40" i="3"/>
  <c r="A60" i="3" s="1"/>
  <c r="A39" i="3"/>
  <c r="A59" i="3" s="1"/>
  <c r="A38" i="3"/>
  <c r="A58" i="3" s="1"/>
  <c r="A37" i="3"/>
  <c r="A57" i="3" s="1"/>
  <c r="A36" i="3"/>
  <c r="A56" i="3" s="1"/>
  <c r="A35" i="3"/>
  <c r="A55" i="3" s="1"/>
  <c r="A34" i="3"/>
  <c r="A54" i="3" s="1"/>
  <c r="A33" i="3"/>
  <c r="A53" i="3" s="1"/>
  <c r="A32" i="3"/>
  <c r="A52" i="3" s="1"/>
  <c r="A31" i="3"/>
  <c r="A51" i="3" s="1"/>
  <c r="A30" i="3"/>
  <c r="A50" i="3" s="1"/>
  <c r="B236" i="3"/>
  <c r="A29" i="3"/>
  <c r="N29" i="3"/>
  <c r="O18" i="3"/>
  <c r="M24" i="3" l="1"/>
  <c r="B156" i="3" s="1"/>
  <c r="Q23" i="3"/>
  <c r="B142" i="3" s="1"/>
  <c r="P18" i="3"/>
  <c r="L20" i="3"/>
  <c r="B183" i="3" s="1"/>
  <c r="O23" i="3"/>
  <c r="B140" i="3" s="1"/>
  <c r="O17" i="3"/>
  <c r="B211" i="3" s="1"/>
  <c r="O16" i="3"/>
  <c r="M15" i="3"/>
  <c r="M18" i="3"/>
  <c r="L18" i="3"/>
  <c r="L22" i="3"/>
  <c r="N18" i="3"/>
  <c r="C35" i="3" s="1"/>
  <c r="I55" i="3" s="1"/>
  <c r="N17" i="3"/>
  <c r="C34" i="3" s="1"/>
  <c r="P16" i="3"/>
  <c r="L13" i="3"/>
  <c r="N22" i="3"/>
  <c r="E39" i="3" s="1"/>
  <c r="P22" i="3"/>
  <c r="N15" i="3"/>
  <c r="P24" i="3"/>
  <c r="N14" i="3"/>
  <c r="L19" i="3"/>
  <c r="M19" i="3"/>
  <c r="M20" i="3"/>
  <c r="M23" i="3"/>
  <c r="M17" i="3"/>
  <c r="L14" i="3"/>
  <c r="L17" i="3"/>
  <c r="G34" i="3" s="1"/>
  <c r="O19" i="3"/>
  <c r="B221" i="3" s="1"/>
  <c r="O13" i="3"/>
  <c r="Q17" i="3"/>
  <c r="B213" i="3" s="1"/>
  <c r="N16" i="3"/>
  <c r="O15" i="3"/>
  <c r="Q13" i="3"/>
  <c r="Q21" i="3"/>
  <c r="N24" i="3"/>
  <c r="P20" i="3"/>
  <c r="B176" i="3" s="1"/>
  <c r="M21" i="3"/>
  <c r="Q15" i="3"/>
  <c r="L23" i="3"/>
  <c r="P19" i="3"/>
  <c r="B222" i="3" s="1"/>
  <c r="L12" i="3"/>
  <c r="B82" i="3" s="1"/>
  <c r="O14" i="3"/>
  <c r="N23" i="3"/>
  <c r="C40" i="3" s="1"/>
  <c r="Q19" i="3"/>
  <c r="B223" i="3" s="1"/>
  <c r="Q18" i="3"/>
  <c r="P21" i="3"/>
  <c r="N19" i="3"/>
  <c r="J36" i="3" s="1"/>
  <c r="M16" i="3"/>
  <c r="Q16" i="3"/>
  <c r="P15" i="3"/>
  <c r="O20" i="3"/>
  <c r="B175" i="3" s="1"/>
  <c r="N21" i="3"/>
  <c r="C38" i="3" s="1"/>
  <c r="L16" i="3"/>
  <c r="P13" i="3"/>
  <c r="Q20" i="3"/>
  <c r="B177" i="3" s="1"/>
  <c r="Q22" i="3"/>
  <c r="M22" i="3"/>
  <c r="P17" i="3"/>
  <c r="B212" i="3" s="1"/>
  <c r="N13" i="3"/>
  <c r="C41" i="3"/>
  <c r="E41" i="3" s="1"/>
  <c r="B193" i="3"/>
  <c r="G37" i="3"/>
  <c r="I13" i="3"/>
  <c r="J21" i="3"/>
  <c r="I12" i="3"/>
  <c r="I24" i="3"/>
  <c r="K22" i="3"/>
  <c r="J19" i="3"/>
  <c r="J17" i="3"/>
  <c r="J15" i="3"/>
  <c r="J13" i="3"/>
  <c r="K24" i="3"/>
  <c r="K17" i="3"/>
  <c r="I21" i="3"/>
  <c r="I14" i="3"/>
  <c r="I16" i="3"/>
  <c r="I18" i="3"/>
  <c r="I20" i="3"/>
  <c r="K23" i="3"/>
  <c r="K20" i="3"/>
  <c r="K13" i="3"/>
  <c r="J20" i="3"/>
  <c r="J18" i="3"/>
  <c r="J16" i="3"/>
  <c r="J14" i="3"/>
  <c r="I22" i="3"/>
  <c r="K15" i="3"/>
  <c r="K19" i="3"/>
  <c r="I23" i="3"/>
  <c r="K14" i="3"/>
  <c r="I15" i="3"/>
  <c r="I17" i="3"/>
  <c r="I19" i="3"/>
  <c r="K21" i="3"/>
  <c r="J24" i="3"/>
  <c r="J22" i="3"/>
  <c r="K16" i="3"/>
  <c r="P14" i="3"/>
  <c r="M14" i="3"/>
  <c r="N20" i="3"/>
  <c r="O22" i="3"/>
  <c r="M13" i="3"/>
  <c r="L24" i="3"/>
  <c r="P23" i="3"/>
  <c r="B141" i="3" s="1"/>
  <c r="Q14" i="3"/>
  <c r="L15" i="3"/>
  <c r="E32" i="3" s="1"/>
  <c r="O21" i="3"/>
  <c r="E31" i="3"/>
  <c r="H51" i="3" s="1"/>
  <c r="O24" i="3"/>
  <c r="L21" i="3"/>
  <c r="J23" i="3"/>
  <c r="K18" i="3"/>
  <c r="C32" i="3"/>
  <c r="G39" i="3" l="1"/>
  <c r="J59" i="3" s="1"/>
  <c r="J40" i="3"/>
  <c r="G36" i="3"/>
  <c r="J56" i="3" s="1"/>
  <c r="G31" i="3"/>
  <c r="E40" i="3"/>
  <c r="H60" i="3" s="1"/>
  <c r="E30" i="3"/>
  <c r="H50" i="3" s="1"/>
  <c r="G35" i="3"/>
  <c r="J35" i="3"/>
  <c r="E35" i="3"/>
  <c r="H55" i="3" s="1"/>
  <c r="C39" i="3"/>
  <c r="I59" i="3" s="1"/>
  <c r="J34" i="3"/>
  <c r="E65" i="3"/>
  <c r="E67" i="3" s="1"/>
  <c r="I58" i="3"/>
  <c r="J57" i="3"/>
  <c r="J55" i="3"/>
  <c r="H52" i="3"/>
  <c r="J39" i="3"/>
  <c r="G40" i="3"/>
  <c r="J60" i="3" s="1"/>
  <c r="E34" i="3"/>
  <c r="H54" i="3" s="1"/>
  <c r="E33" i="3"/>
  <c r="H53" i="3" s="1"/>
  <c r="G33" i="3"/>
  <c r="J53" i="3" s="1"/>
  <c r="I40" i="3"/>
  <c r="M40" i="3" s="1"/>
  <c r="N40" i="3" s="1"/>
  <c r="B60" i="3" s="1"/>
  <c r="I35" i="3"/>
  <c r="M35" i="3" s="1"/>
  <c r="J33" i="3"/>
  <c r="I60" i="3"/>
  <c r="C33" i="3"/>
  <c r="I53" i="3" s="1"/>
  <c r="I39" i="3"/>
  <c r="M39" i="3" s="1"/>
  <c r="N39" i="3" s="1"/>
  <c r="B59" i="3" s="1"/>
  <c r="I54" i="3"/>
  <c r="C30" i="3"/>
  <c r="I50" i="3" s="1"/>
  <c r="H59" i="3"/>
  <c r="E36" i="3"/>
  <c r="C36" i="3"/>
  <c r="I56" i="3" s="1"/>
  <c r="J54" i="3"/>
  <c r="B214" i="3"/>
  <c r="I34" i="3"/>
  <c r="M34" i="3" s="1"/>
  <c r="N34" i="3" s="1"/>
  <c r="I33" i="3"/>
  <c r="M33" i="3" s="1"/>
  <c r="N33" i="3" s="1"/>
  <c r="J31" i="3"/>
  <c r="C31" i="3"/>
  <c r="I51" i="3" s="1"/>
  <c r="B192" i="3"/>
  <c r="J37" i="3"/>
  <c r="C37" i="3"/>
  <c r="I57" i="3" s="1"/>
  <c r="E37" i="3"/>
  <c r="H57" i="3" s="1"/>
  <c r="B147" i="3"/>
  <c r="B157" i="3"/>
  <c r="G41" i="3"/>
  <c r="J41" i="3"/>
  <c r="F65" i="3"/>
  <c r="J51" i="3"/>
  <c r="I41" i="3"/>
  <c r="M41" i="3" s="1"/>
  <c r="N41" i="3" s="1"/>
  <c r="I36" i="3"/>
  <c r="M36" i="3" s="1"/>
  <c r="N36" i="3" s="1"/>
  <c r="I32" i="3"/>
  <c r="M32" i="3" s="1"/>
  <c r="N32" i="3" s="1"/>
  <c r="I31" i="3"/>
  <c r="M31" i="3" s="1"/>
  <c r="N31" i="3" s="1"/>
  <c r="I30" i="3"/>
  <c r="M30" i="3" s="1"/>
  <c r="N30" i="3" s="1"/>
  <c r="G32" i="3"/>
  <c r="J52" i="3" s="1"/>
  <c r="J32" i="3"/>
  <c r="G30" i="3"/>
  <c r="J50" i="3" s="1"/>
  <c r="J30" i="3"/>
  <c r="C60" i="3"/>
  <c r="I37" i="3"/>
  <c r="M37" i="3" s="1"/>
  <c r="N37" i="3" s="1"/>
  <c r="I38" i="3"/>
  <c r="M38" i="3" s="1"/>
  <c r="N38" i="3" s="1"/>
  <c r="N35" i="3"/>
  <c r="G38" i="3"/>
  <c r="J38" i="3"/>
  <c r="E38" i="3"/>
  <c r="I52" i="3"/>
  <c r="D59" i="3" l="1"/>
  <c r="B155" i="3"/>
  <c r="B158" i="3" s="1"/>
  <c r="C59" i="3"/>
  <c r="C51" i="3"/>
  <c r="B53" i="3"/>
  <c r="D60" i="3"/>
  <c r="B224" i="3"/>
  <c r="H56" i="3"/>
  <c r="C54" i="3"/>
  <c r="B54" i="3"/>
  <c r="D54" i="3"/>
  <c r="D53" i="3"/>
  <c r="C53" i="3"/>
  <c r="I62" i="3"/>
  <c r="D51" i="3"/>
  <c r="C42" i="3"/>
  <c r="B90" i="3" s="1"/>
  <c r="B51" i="3"/>
  <c r="D57" i="3"/>
  <c r="B57" i="3"/>
  <c r="C57" i="3"/>
  <c r="C50" i="3"/>
  <c r="B50" i="3"/>
  <c r="D50" i="3"/>
  <c r="B52" i="3"/>
  <c r="C52" i="3"/>
  <c r="D52" i="3"/>
  <c r="B58" i="3"/>
  <c r="C58" i="3"/>
  <c r="D58" i="3"/>
  <c r="B56" i="3"/>
  <c r="C56" i="3"/>
  <c r="D56" i="3"/>
  <c r="F67" i="3"/>
  <c r="G65" i="3"/>
  <c r="G67" i="3" s="1"/>
  <c r="J42" i="3"/>
  <c r="M42" i="3"/>
  <c r="M44" i="3" s="1"/>
  <c r="H58" i="3"/>
  <c r="E42" i="3"/>
  <c r="B91" i="3" s="1"/>
  <c r="J58" i="3"/>
  <c r="J62" i="3" s="1"/>
  <c r="G42" i="3"/>
  <c r="B92" i="3" s="1"/>
  <c r="D55" i="3"/>
  <c r="C55" i="3"/>
  <c r="B55" i="3"/>
  <c r="N42" i="3"/>
  <c r="N44" i="3" s="1"/>
  <c r="H62" i="3" l="1"/>
  <c r="I63" i="3"/>
  <c r="B112" i="3" s="1"/>
  <c r="B62" i="3"/>
  <c r="B63" i="3" s="1"/>
  <c r="F57" i="3" s="1"/>
  <c r="D62" i="3"/>
  <c r="D63" i="3" s="1"/>
  <c r="J63" i="3"/>
  <c r="B113" i="3" s="1"/>
  <c r="H63" i="3"/>
  <c r="B111" i="3" s="1"/>
  <c r="C62" i="3"/>
  <c r="C63" i="3" s="1"/>
  <c r="B108" i="3" l="1"/>
  <c r="E50" i="3"/>
  <c r="B109" i="3"/>
  <c r="B107" i="3"/>
  <c r="G53" i="3"/>
  <c r="G54" i="3"/>
  <c r="F55" i="3"/>
  <c r="F60" i="3"/>
  <c r="E60" i="3"/>
  <c r="G56" i="3"/>
  <c r="E57" i="3"/>
  <c r="F58" i="3"/>
  <c r="G55" i="3"/>
  <c r="G50" i="3"/>
  <c r="F53" i="3"/>
  <c r="E55" i="3"/>
  <c r="F54" i="3"/>
  <c r="G59" i="3"/>
  <c r="F61" i="3"/>
  <c r="E54" i="3"/>
  <c r="E53" i="3"/>
  <c r="F52" i="3"/>
  <c r="E59" i="3"/>
  <c r="E56" i="3"/>
  <c r="F50" i="3"/>
  <c r="G51" i="3"/>
  <c r="G61" i="3"/>
  <c r="E51" i="3"/>
  <c r="E61" i="3"/>
  <c r="E52" i="3"/>
  <c r="F51" i="3"/>
  <c r="E58" i="3"/>
  <c r="F59" i="3"/>
  <c r="F56" i="3"/>
  <c r="G60" i="3"/>
  <c r="G52" i="3"/>
  <c r="G57" i="3"/>
  <c r="G58" i="3"/>
  <c r="G63" i="3" l="1"/>
  <c r="B117" i="3" s="1"/>
  <c r="F63" i="3"/>
  <c r="E63" i="3"/>
  <c r="B116" i="3" l="1"/>
  <c r="B1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Frederic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nose to tail excluding tail rotor blades</t>
        </r>
      </text>
    </comment>
    <comment ref="D17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
if 2 stabilizers measure both together as one</t>
        </r>
      </text>
    </comment>
    <comment ref="C19" authorId="0" shapeId="0" xr:uid="{00000000-0006-0000-0000-000003000000}">
      <text>
        <r>
          <rPr>
            <sz val="9"/>
            <color indexed="81"/>
            <rFont val="Tahoma"/>
            <family val="2"/>
          </rPr>
          <t>if inclined measure the full width</t>
        </r>
      </text>
    </comment>
    <comment ref="E19" authorId="0" shapeId="0" xr:uid="{00000000-0006-0000-0000-000004000000}">
      <text>
        <r>
          <rPr>
            <sz val="9"/>
            <color indexed="81"/>
            <rFont val="Tahoma"/>
            <family val="2"/>
          </rPr>
          <t>if inclined mesure the full height as if it was not inclined</t>
        </r>
      </text>
    </comment>
    <comment ref="C20" authorId="0" shapeId="0" xr:uid="{00000000-0006-0000-0000-000005000000}">
      <text>
        <r>
          <rPr>
            <sz val="9"/>
            <color indexed="81"/>
            <rFont val="Tahoma"/>
            <family val="2"/>
          </rPr>
          <t>Insert rotor diameter
here</t>
        </r>
      </text>
    </comment>
    <comment ref="C24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including hub use half diameter
</t>
        </r>
      </text>
    </comment>
    <comment ref="D24" authorId="0" shapeId="0" xr:uid="{00000000-0006-0000-0000-000007000000}">
      <text>
        <r>
          <rPr>
            <sz val="9"/>
            <color indexed="81"/>
            <rFont val="Tahoma"/>
            <family val="2"/>
          </rPr>
          <t>blade chord</t>
        </r>
      </text>
    </comment>
  </commentList>
</comments>
</file>

<file path=xl/sharedStrings.xml><?xml version="1.0" encoding="utf-8"?>
<sst xmlns="http://schemas.openxmlformats.org/spreadsheetml/2006/main" count="305" uniqueCount="213">
  <si>
    <t>length</t>
  </si>
  <si>
    <t>feet</t>
  </si>
  <si>
    <t>height</t>
  </si>
  <si>
    <t>width</t>
  </si>
  <si>
    <t>helicopter</t>
  </si>
  <si>
    <t>cabin</t>
  </si>
  <si>
    <t>blades</t>
  </si>
  <si>
    <t>tail rotor</t>
  </si>
  <si>
    <t>cm</t>
  </si>
  <si>
    <t>%red</t>
  </si>
  <si>
    <t>sq ft</t>
  </si>
  <si>
    <t>volume</t>
  </si>
  <si>
    <t>cub ft</t>
  </si>
  <si>
    <t>weight</t>
  </si>
  <si>
    <t>tail boom</t>
  </si>
  <si>
    <t>SCALE</t>
  </si>
  <si>
    <t>quant</t>
  </si>
  <si>
    <t>MEASURES</t>
  </si>
  <si>
    <t>engine</t>
  </si>
  <si>
    <t>d g/dm</t>
  </si>
  <si>
    <t>d lb/cf</t>
  </si>
  <si>
    <t>kgs</t>
  </si>
  <si>
    <t>lbs</t>
  </si>
  <si>
    <t>dm3</t>
  </si>
  <si>
    <t>Datum Reference Point</t>
  </si>
  <si>
    <t>volume scaled cm</t>
  </si>
  <si>
    <t>COG W*R/RTOT</t>
  </si>
  <si>
    <t>surface front</t>
  </si>
  <si>
    <t>surface side</t>
  </si>
  <si>
    <t>=</t>
  </si>
  <si>
    <t>nose</t>
  </si>
  <si>
    <t>luggage</t>
  </si>
  <si>
    <t>skid1</t>
  </si>
  <si>
    <t>skid2</t>
  </si>
  <si>
    <t>slug/lbs</t>
  </si>
  <si>
    <t>target weight</t>
  </si>
  <si>
    <t>1unit=</t>
  </si>
  <si>
    <t>COG position drawing units</t>
  </si>
  <si>
    <t>volume drawing unit</t>
  </si>
  <si>
    <t>horiz stabilizer</t>
  </si>
  <si>
    <t>vert stabilizer</t>
  </si>
  <si>
    <t>main rotor</t>
  </si>
  <si>
    <t>volume scaled feet</t>
  </si>
  <si>
    <t>MOMENTS OF INERTIA</t>
  </si>
  <si>
    <t>CENTER OF GRAVITY</t>
  </si>
  <si>
    <t>AERODYNAMIC CENTER</t>
  </si>
  <si>
    <t>lon X</t>
  </si>
  <si>
    <t>lat Y</t>
  </si>
  <si>
    <t>vert Z</t>
  </si>
  <si>
    <t>[Main]</t>
  </si>
  <si>
    <t>[Helicopter]</t>
  </si>
  <si>
    <t>[Rotor1]</t>
  </si>
  <si>
    <t>[Rotor2]</t>
  </si>
  <si>
    <t>[Engine]</t>
  </si>
  <si>
    <t>totalEnginePower=</t>
  </si>
  <si>
    <t>engineTransmissionLoss=</t>
  </si>
  <si>
    <t>[Stabilizer1]</t>
  </si>
  <si>
    <t>[Stabilizer2]</t>
  </si>
  <si>
    <t>Version=</t>
  </si>
  <si>
    <t>Author=</t>
  </si>
  <si>
    <t>Title=</t>
  </si>
  <si>
    <t>Description =</t>
  </si>
  <si>
    <t>length =</t>
  </si>
  <si>
    <t>velocityNeverExceed =</t>
  </si>
  <si>
    <t>emptyWeight =</t>
  </si>
  <si>
    <t>maxGrossWeight =</t>
  </si>
  <si>
    <t>frontArea =</t>
  </si>
  <si>
    <t>sideArea =</t>
  </si>
  <si>
    <t>topArea =</t>
  </si>
  <si>
    <t>frontDragCF =</t>
  </si>
  <si>
    <t>sideDragCF =</t>
  </si>
  <si>
    <t>topDragCF =</t>
  </si>
  <si>
    <t>landingType =</t>
  </si>
  <si>
    <t>GroundFrictionCoeff=</t>
  </si>
  <si>
    <t>GroundRestitutionCoeff =</t>
  </si>
  <si>
    <t>gravityCenterX =</t>
  </si>
  <si>
    <t>gravityCenterY =</t>
  </si>
  <si>
    <t>gravityCenterZ =</t>
  </si>
  <si>
    <t>aeroCenterX =</t>
  </si>
  <si>
    <t>aeroCenterY =</t>
  </si>
  <si>
    <t>aeroCenterZ =</t>
  </si>
  <si>
    <t>momentOfInertiaX =</t>
  </si>
  <si>
    <t>momentOfInertiaY =</t>
  </si>
  <si>
    <t>momentOfInertiaZ =</t>
  </si>
  <si>
    <t>numberOfRotors =</t>
  </si>
  <si>
    <t>numberOfEngines=</t>
  </si>
  <si>
    <t>numberOfStabilizers =</t>
  </si>
  <si>
    <t>governorLag =</t>
  </si>
  <si>
    <t>tailrotor =</t>
  </si>
  <si>
    <t>clockwise =</t>
  </si>
  <si>
    <t>positionX =</t>
  </si>
  <si>
    <t>positionY =</t>
  </si>
  <si>
    <t>positionZ =</t>
  </si>
  <si>
    <t>rollAngle =</t>
  </si>
  <si>
    <t>pitchAngle=</t>
  </si>
  <si>
    <t>radius =</t>
  </si>
  <si>
    <t>maxCyclicAngle =</t>
  </si>
  <si>
    <t>ratedRPM =</t>
  </si>
  <si>
    <t>numberOfBlades =</t>
  </si>
  <si>
    <t>NACAProfile=</t>
  </si>
  <si>
    <t>bladeWeight =</t>
  </si>
  <si>
    <t>bladeChord =</t>
  </si>
  <si>
    <t>bladeLength =</t>
  </si>
  <si>
    <t>bladeMOI =</t>
  </si>
  <si>
    <t>bladeLiftCF =</t>
  </si>
  <si>
    <t>bladeDragCF =</t>
  </si>
  <si>
    <t>bladeDragCFa =</t>
  </si>
  <si>
    <t>kConstant=</t>
  </si>
  <si>
    <t>thrustMultiplier =</t>
  </si>
  <si>
    <t>engineType =</t>
  </si>
  <si>
    <t>transmissionMaxPower=</t>
  </si>
  <si>
    <t>auxSystemsPowerReq=</t>
  </si>
  <si>
    <t>area =</t>
  </si>
  <si>
    <t>DragCF =</t>
  </si>
  <si>
    <t>vertical =</t>
  </si>
  <si>
    <t>0 skids  1 wheels</t>
  </si>
  <si>
    <t xml:space="preserve">Determines the friction when in contact with ground use 0.6 for steel/aluminium, 0.05 for wheels </t>
  </si>
  <si>
    <t>Coefficient that determines how the helo bounces back upon ground collision, depends on the carriage</t>
  </si>
  <si>
    <t>governor lag time, set -1 for twist grip. To use, assign left pedal brake to joystick axis</t>
  </si>
  <si>
    <t>0 main rotor 1: tail rotor</t>
  </si>
  <si>
    <t>1 clockwise 0 anticlockwise</t>
  </si>
  <si>
    <t>neutral angle in degrees along X axis</t>
  </si>
  <si>
    <t>neutral angle in degrees along Y axis</t>
  </si>
  <si>
    <t>max disc angle at 100% collective</t>
  </si>
  <si>
    <t>max cyclic angle at 100% cyclic</t>
  </si>
  <si>
    <t>min disc angle at 0% collective</t>
  </si>
  <si>
    <t>not used yet</t>
  </si>
  <si>
    <t>angle in degrees along X axis from vertical</t>
  </si>
  <si>
    <t>shaft power for each engine</t>
  </si>
  <si>
    <t>0=horizontal 1=vertical</t>
  </si>
  <si>
    <t>0=Piston, 1=Jet, 2=None, 3=Helo-Turbine, 4=Rocket, 5=Turboprop</t>
  </si>
  <si>
    <t>X = POSITIVE FRONT</t>
  </si>
  <si>
    <t>Y = POSITIVE RIGHT</t>
  </si>
  <si>
    <t>Z = POSITIVE DOWN</t>
  </si>
  <si>
    <t>In case you use a period separator replace periods by dots. i.e. 15,5 should be 15.5, you can also change this setting in Excel's settings / international )</t>
  </si>
  <si>
    <t>//yaw</t>
  </si>
  <si>
    <t>helicopter cyclic trim  1=enable 0=disable</t>
  </si>
  <si>
    <t>bladeDragCFa2 =</t>
  </si>
  <si>
    <t xml:space="preserve">[Simulation] </t>
  </si>
  <si>
    <t xml:space="preserve">GovernorSensitivity = </t>
  </si>
  <si>
    <t>// governor blade speed sensitivity, how much power the governor will set to compensate for low RPM</t>
  </si>
  <si>
    <t xml:space="preserve">RotorPowerSensitivity = </t>
  </si>
  <si>
    <t xml:space="preserve">// together with blade inertia affects rotor RPM increase/decrease with power, and autorotations </t>
  </si>
  <si>
    <t xml:space="preserve">TransverseFlowDisplacement = </t>
  </si>
  <si>
    <t>//main rotor center of force displacement due to transverse flow (% radius)</t>
  </si>
  <si>
    <t>cyclicTrim =</t>
  </si>
  <si>
    <t>angularVelocityDamp =</t>
  </si>
  <si>
    <t>meanAerodynamicChord=</t>
  </si>
  <si>
    <t>emptyWeightCOG =</t>
  </si>
  <si>
    <t>empty weight center of gravity as per FSX</t>
  </si>
  <si>
    <t>maximum landing vertical velocity before undercarriage is damaged.</t>
  </si>
  <si>
    <t>goodLandingLimit =</t>
  </si>
  <si>
    <t>landingGearArea =</t>
  </si>
  <si>
    <t>use only for retractable landing gear</t>
  </si>
  <si>
    <t>0 = FSX Bell type Helicopter 1=Robinson/EH 101 type helicopter</t>
  </si>
  <si>
    <t>Helicopter Length</t>
  </si>
  <si>
    <t>mm</t>
  </si>
  <si>
    <t>half diameter</t>
  </si>
  <si>
    <t>UNIT mm</t>
  </si>
  <si>
    <t>minCollective =</t>
  </si>
  <si>
    <t>maxCollective =</t>
  </si>
  <si>
    <t>simType =</t>
  </si>
  <si>
    <t>pedalsRestPcent=</t>
  </si>
  <si>
    <t>helicopterType=</t>
  </si>
  <si>
    <t>INSERT HELICOPTER LENGTH HERE TO GET THE SCALE</t>
  </si>
  <si>
    <t xml:space="preserve">COG position ft </t>
  </si>
  <si>
    <t xml:space="preserve">1=standard, 2=european </t>
  </si>
  <si>
    <t>surface bottom</t>
  </si>
  <si>
    <t>in  feet as per docs, if unknown  use approx 50% of main rotor radius</t>
  </si>
  <si>
    <t>simEmptyWeight =</t>
  </si>
  <si>
    <t>roll X</t>
  </si>
  <si>
    <t>pitch Y</t>
  </si>
  <si>
    <t>yaw Z</t>
  </si>
  <si>
    <t>FSX formula</t>
  </si>
  <si>
    <t>K</t>
  </si>
  <si>
    <t>MOI</t>
  </si>
  <si>
    <t>MOI = EmptyWeight * (D^2 / K)</t>
  </si>
  <si>
    <t>autoStabilization =</t>
  </si>
  <si>
    <t>dynamicStabilization =</t>
  </si>
  <si>
    <t>mainRotorInfluence=</t>
  </si>
  <si>
    <t xml:space="preserve">VortexRingStateAccelleration= </t>
  </si>
  <si>
    <t>1.0</t>
  </si>
  <si>
    <t>coning =</t>
  </si>
  <si>
    <t xml:space="preserve">liftAsimmetry  = </t>
  </si>
  <si>
    <t>flapping =</t>
  </si>
  <si>
    <t>maxLandingSpeed =</t>
  </si>
  <si>
    <t>maxLandingAngle =</t>
  </si>
  <si>
    <t>maximum landing angle to avoid tail hit</t>
  </si>
  <si>
    <t>Coefficient of friction in rotational moment</t>
  </si>
  <si>
    <t>GroundYawFriction =</t>
  </si>
  <si>
    <t>mainRotorHeight =</t>
  </si>
  <si>
    <t>height of the main rotor from ground in feet</t>
  </si>
  <si>
    <r>
      <t xml:space="preserve">sets the </t>
    </r>
    <r>
      <rPr>
        <b/>
        <sz val="11"/>
        <rFont val="Calibri"/>
        <family val="2"/>
      </rPr>
      <t>level of vibrations</t>
    </r>
    <r>
      <rPr>
        <sz val="11"/>
        <rFont val="Calibri"/>
        <family val="2"/>
      </rPr>
      <t xml:space="preserve"> when Vibration Effect is enabled. </t>
    </r>
  </si>
  <si>
    <t>in KNOTS</t>
  </si>
  <si>
    <t>//</t>
  </si>
  <si>
    <t>//feet seconds accepted for a good landing</t>
  </si>
  <si>
    <t>CONFIGURATION FILE - COPY GRAY AREA AND PASTE INTO TEXT EDITOR</t>
  </si>
  <si>
    <t>LiftCF=</t>
  </si>
  <si>
    <t>vibrationLevel=</t>
  </si>
  <si>
    <t>maxRotorRPM=</t>
  </si>
  <si>
    <t>minRotorRPM =</t>
  </si>
  <si>
    <t>GroundTurbulence =</t>
  </si>
  <si>
    <t>mainRotorStallPerc=</t>
  </si>
  <si>
    <t>mainRotorStallRatio=</t>
  </si>
  <si>
    <t>Fred Naar</t>
  </si>
  <si>
    <t>Robinson 44</t>
  </si>
  <si>
    <t>//check</t>
  </si>
  <si>
    <t>mainRotorTorqueScalar =</t>
  </si>
  <si>
    <t>realismVelocitiesDamp =</t>
  </si>
  <si>
    <t>Flight model for Robinson R44.</t>
  </si>
  <si>
    <t>//roll considering gyroscopic stabilization</t>
  </si>
  <si>
    <t>//pitch considering gyroscopic stabilization</t>
  </si>
  <si>
    <t>ZeroLiftCF=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</si>
</sst>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_-* #,##0_-;\-* #,##0_-;_-* &quot;-&quot;??_-;_-@_-"/>
    <numFmt numFmtId="166" formatCode="h\.mm"/>
  </numFmts>
  <fonts count="2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62"/>
      <name val="Arial"/>
      <family val="2"/>
    </font>
    <font>
      <i/>
      <sz val="10"/>
      <name val="Arial"/>
      <family val="2"/>
    </font>
    <font>
      <b/>
      <sz val="10"/>
      <color indexed="55"/>
      <name val="Arial"/>
      <family val="2"/>
    </font>
    <font>
      <b/>
      <sz val="10"/>
      <color indexed="57"/>
      <name val="Arial"/>
      <family val="2"/>
    </font>
    <font>
      <b/>
      <sz val="10"/>
      <color indexed="17"/>
      <name val="Arial"/>
      <family val="2"/>
    </font>
    <font>
      <b/>
      <sz val="10"/>
      <color indexed="23"/>
      <name val="Arial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3" fillId="0" borderId="0" xfId="0" applyFont="1"/>
    <xf numFmtId="2" fontId="0" fillId="0" borderId="0" xfId="0" applyNumberFormat="1"/>
    <xf numFmtId="2" fontId="3" fillId="0" borderId="0" xfId="0" applyNumberFormat="1" applyFont="1"/>
    <xf numFmtId="0" fontId="3" fillId="2" borderId="1" xfId="0" applyFont="1" applyFill="1" applyBorder="1"/>
    <xf numFmtId="0" fontId="0" fillId="2" borderId="2" xfId="0" applyFill="1" applyBorder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 applyAlignment="1">
      <alignment horizontal="right"/>
    </xf>
    <xf numFmtId="0" fontId="0" fillId="0" borderId="8" xfId="0" applyBorder="1"/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4" xfId="0" applyNumberFormat="1" applyBorder="1"/>
    <xf numFmtId="0" fontId="0" fillId="0" borderId="12" xfId="0" applyBorder="1"/>
    <xf numFmtId="2" fontId="3" fillId="0" borderId="13" xfId="0" applyNumberFormat="1" applyFont="1" applyBorder="1"/>
    <xf numFmtId="0" fontId="3" fillId="0" borderId="12" xfId="0" applyFont="1" applyBorder="1"/>
    <xf numFmtId="0" fontId="0" fillId="0" borderId="14" xfId="0" applyBorder="1"/>
    <xf numFmtId="165" fontId="0" fillId="0" borderId="0" xfId="3" applyNumberFormat="1" applyFont="1" applyBorder="1"/>
    <xf numFmtId="2" fontId="3" fillId="0" borderId="0" xfId="0" applyNumberFormat="1" applyFont="1" applyFill="1" applyBorder="1"/>
    <xf numFmtId="0" fontId="3" fillId="2" borderId="3" xfId="0" applyFont="1" applyFill="1" applyBorder="1"/>
    <xf numFmtId="0" fontId="5" fillId="0" borderId="10" xfId="0" applyFont="1" applyBorder="1"/>
    <xf numFmtId="0" fontId="5" fillId="0" borderId="0" xfId="0" applyFont="1" applyBorder="1"/>
    <xf numFmtId="0" fontId="5" fillId="0" borderId="11" xfId="0" applyFont="1" applyBorder="1"/>
    <xf numFmtId="0" fontId="5" fillId="0" borderId="4" xfId="0" applyFont="1" applyBorder="1"/>
    <xf numFmtId="0" fontId="5" fillId="0" borderId="5" xfId="0" applyFont="1" applyBorder="1"/>
    <xf numFmtId="9" fontId="5" fillId="0" borderId="10" xfId="0" applyNumberFormat="1" applyFont="1" applyBorder="1"/>
    <xf numFmtId="9" fontId="5" fillId="0" borderId="4" xfId="0" applyNumberFormat="1" applyFont="1" applyBorder="1"/>
    <xf numFmtId="1" fontId="5" fillId="0" borderId="10" xfId="0" applyNumberFormat="1" applyFont="1" applyBorder="1"/>
    <xf numFmtId="1" fontId="5" fillId="0" borderId="4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2" borderId="10" xfId="0" applyFill="1" applyBorder="1"/>
    <xf numFmtId="0" fontId="1" fillId="0" borderId="1" xfId="0" applyFont="1" applyBorder="1"/>
    <xf numFmtId="0" fontId="1" fillId="0" borderId="2" xfId="0" applyFont="1" applyBorder="1"/>
    <xf numFmtId="2" fontId="1" fillId="0" borderId="1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0" fontId="3" fillId="2" borderId="1" xfId="0" applyFont="1" applyFill="1" applyBorder="1" applyAlignment="1">
      <alignment horizontal="left"/>
    </xf>
    <xf numFmtId="0" fontId="5" fillId="0" borderId="0" xfId="0" applyNumberFormat="1" applyFont="1" applyBorder="1"/>
    <xf numFmtId="2" fontId="3" fillId="0" borderId="15" xfId="0" applyNumberFormat="1" applyFont="1" applyBorder="1"/>
    <xf numFmtId="166" fontId="0" fillId="0" borderId="0" xfId="0" applyNumberFormat="1"/>
    <xf numFmtId="2" fontId="9" fillId="0" borderId="0" xfId="0" applyNumberFormat="1" applyFont="1" applyBorder="1"/>
    <xf numFmtId="2" fontId="9" fillId="0" borderId="5" xfId="0" applyNumberFormat="1" applyFont="1" applyBorder="1"/>
    <xf numFmtId="0" fontId="0" fillId="2" borderId="2" xfId="0" applyFill="1" applyBorder="1" applyAlignment="1">
      <alignment horizontal="left"/>
    </xf>
    <xf numFmtId="2" fontId="6" fillId="0" borderId="14" xfId="0" applyNumberFormat="1" applyFont="1" applyBorder="1"/>
    <xf numFmtId="2" fontId="3" fillId="0" borderId="11" xfId="0" applyNumberFormat="1" applyFont="1" applyBorder="1"/>
    <xf numFmtId="2" fontId="6" fillId="0" borderId="1" xfId="0" applyNumberFormat="1" applyFont="1" applyBorder="1"/>
    <xf numFmtId="2" fontId="6" fillId="0" borderId="15" xfId="0" applyNumberFormat="1" applyFont="1" applyBorder="1"/>
    <xf numFmtId="0" fontId="0" fillId="0" borderId="15" xfId="0" applyBorder="1"/>
    <xf numFmtId="0" fontId="3" fillId="0" borderId="15" xfId="0" applyFont="1" applyBorder="1"/>
    <xf numFmtId="2" fontId="8" fillId="0" borderId="15" xfId="0" applyNumberFormat="1" applyFont="1" applyFill="1" applyBorder="1"/>
    <xf numFmtId="2" fontId="8" fillId="0" borderId="15" xfId="0" applyNumberFormat="1" applyFont="1" applyBorder="1"/>
    <xf numFmtId="9" fontId="0" fillId="0" borderId="15" xfId="0" applyNumberFormat="1" applyBorder="1"/>
    <xf numFmtId="0" fontId="3" fillId="0" borderId="0" xfId="0" applyFont="1" applyFill="1"/>
    <xf numFmtId="0" fontId="0" fillId="0" borderId="0" xfId="0" applyFill="1"/>
    <xf numFmtId="0" fontId="7" fillId="0" borderId="0" xfId="0" applyFont="1" applyFill="1"/>
    <xf numFmtId="0" fontId="8" fillId="0" borderId="15" xfId="0" applyFont="1" applyFill="1" applyBorder="1"/>
    <xf numFmtId="0" fontId="7" fillId="0" borderId="0" xfId="0" applyFont="1" applyFill="1" applyBorder="1"/>
    <xf numFmtId="0" fontId="6" fillId="0" borderId="0" xfId="0" applyFont="1" applyFill="1"/>
    <xf numFmtId="0" fontId="3" fillId="0" borderId="8" xfId="0" applyFont="1" applyBorder="1"/>
    <xf numFmtId="0" fontId="6" fillId="0" borderId="8" xfId="0" applyFont="1" applyBorder="1"/>
    <xf numFmtId="0" fontId="3" fillId="0" borderId="15" xfId="0" applyFont="1" applyFill="1" applyBorder="1"/>
    <xf numFmtId="0" fontId="0" fillId="2" borderId="13" xfId="0" applyFill="1" applyBorder="1" applyAlignment="1">
      <alignment horizontal="right"/>
    </xf>
    <xf numFmtId="2" fontId="3" fillId="0" borderId="5" xfId="0" applyNumberFormat="1" applyFont="1" applyBorder="1"/>
    <xf numFmtId="2" fontId="3" fillId="0" borderId="7" xfId="0" applyNumberFormat="1" applyFont="1" applyBorder="1"/>
    <xf numFmtId="2" fontId="6" fillId="0" borderId="12" xfId="0" applyNumberFormat="1" applyFont="1" applyBorder="1"/>
    <xf numFmtId="1" fontId="3" fillId="0" borderId="0" xfId="0" applyNumberFormat="1" applyFont="1"/>
    <xf numFmtId="0" fontId="6" fillId="0" borderId="0" xfId="0" applyFont="1"/>
    <xf numFmtId="0" fontId="0" fillId="2" borderId="0" xfId="0" applyFill="1" applyBorder="1" applyAlignment="1">
      <alignment horizontal="right"/>
    </xf>
    <xf numFmtId="0" fontId="5" fillId="0" borderId="1" xfId="0" applyFont="1" applyBorder="1"/>
    <xf numFmtId="0" fontId="5" fillId="0" borderId="9" xfId="0" applyFont="1" applyBorder="1"/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1" fillId="0" borderId="3" xfId="0" applyFont="1" applyBorder="1"/>
    <xf numFmtId="2" fontId="1" fillId="0" borderId="11" xfId="0" applyNumberFormat="1" applyFont="1" applyBorder="1"/>
    <xf numFmtId="2" fontId="1" fillId="0" borderId="9" xfId="0" applyNumberFormat="1" applyFont="1" applyBorder="1"/>
    <xf numFmtId="2" fontId="0" fillId="0" borderId="1" xfId="0" applyNumberFormat="1" applyBorder="1"/>
    <xf numFmtId="2" fontId="5" fillId="0" borderId="2" xfId="0" applyNumberFormat="1" applyFont="1" applyBorder="1"/>
    <xf numFmtId="0" fontId="0" fillId="2" borderId="3" xfId="0" applyFill="1" applyBorder="1" applyAlignment="1">
      <alignment horizontal="left"/>
    </xf>
    <xf numFmtId="2" fontId="6" fillId="0" borderId="13" xfId="0" applyNumberFormat="1" applyFont="1" applyBorder="1"/>
    <xf numFmtId="2" fontId="3" fillId="0" borderId="4" xfId="0" applyNumberFormat="1" applyFont="1" applyBorder="1"/>
    <xf numFmtId="0" fontId="6" fillId="2" borderId="1" xfId="0" applyFont="1" applyFill="1" applyBorder="1"/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9" xfId="0" applyBorder="1"/>
    <xf numFmtId="1" fontId="3" fillId="0" borderId="7" xfId="0" applyNumberFormat="1" applyFont="1" applyBorder="1"/>
    <xf numFmtId="1" fontId="6" fillId="0" borderId="1" xfId="0" applyNumberFormat="1" applyFont="1" applyBorder="1"/>
    <xf numFmtId="1" fontId="6" fillId="0" borderId="2" xfId="0" applyNumberFormat="1" applyFont="1" applyBorder="1"/>
    <xf numFmtId="1" fontId="6" fillId="0" borderId="3" xfId="0" applyNumberFormat="1" applyFont="1" applyBorder="1"/>
    <xf numFmtId="1" fontId="6" fillId="0" borderId="10" xfId="0" applyNumberFormat="1" applyFont="1" applyBorder="1"/>
    <xf numFmtId="1" fontId="6" fillId="0" borderId="0" xfId="0" applyNumberFormat="1" applyFont="1" applyBorder="1"/>
    <xf numFmtId="1" fontId="6" fillId="0" borderId="11" xfId="0" applyNumberFormat="1" applyFont="1" applyBorder="1"/>
    <xf numFmtId="1" fontId="6" fillId="0" borderId="4" xfId="0" applyNumberFormat="1" applyFont="1" applyBorder="1"/>
    <xf numFmtId="1" fontId="3" fillId="0" borderId="5" xfId="0" applyNumberFormat="1" applyFont="1" applyBorder="1"/>
    <xf numFmtId="1" fontId="3" fillId="0" borderId="9" xfId="0" applyNumberFormat="1" applyFont="1" applyBorder="1"/>
    <xf numFmtId="2" fontId="5" fillId="0" borderId="5" xfId="0" applyNumberFormat="1" applyFont="1" applyBorder="1"/>
    <xf numFmtId="0" fontId="16" fillId="0" borderId="0" xfId="0" applyFont="1"/>
    <xf numFmtId="0" fontId="3" fillId="3" borderId="0" xfId="0" applyFont="1" applyFill="1"/>
    <xf numFmtId="0" fontId="0" fillId="3" borderId="0" xfId="0" applyFill="1"/>
    <xf numFmtId="0" fontId="8" fillId="3" borderId="0" xfId="0" applyFont="1" applyFill="1"/>
    <xf numFmtId="20" fontId="8" fillId="3" borderId="0" xfId="0" applyNumberFormat="1" applyFont="1" applyFill="1"/>
    <xf numFmtId="2" fontId="3" fillId="3" borderId="0" xfId="0" applyNumberFormat="1" applyFont="1" applyFill="1"/>
    <xf numFmtId="1" fontId="8" fillId="3" borderId="0" xfId="0" applyNumberFormat="1" applyFont="1" applyFill="1"/>
    <xf numFmtId="1" fontId="11" fillId="3" borderId="0" xfId="0" applyNumberFormat="1" applyFont="1" applyFill="1"/>
    <xf numFmtId="0" fontId="13" fillId="3" borderId="0" xfId="0" applyFont="1" applyFill="1"/>
    <xf numFmtId="0" fontId="11" fillId="3" borderId="0" xfId="0" applyFont="1" applyFill="1"/>
    <xf numFmtId="0" fontId="12" fillId="3" borderId="0" xfId="0" applyFont="1" applyFill="1"/>
    <xf numFmtId="1" fontId="3" fillId="3" borderId="0" xfId="0" applyNumberFormat="1" applyFont="1" applyFill="1"/>
    <xf numFmtId="0" fontId="16" fillId="3" borderId="0" xfId="0" applyFont="1" applyFill="1"/>
    <xf numFmtId="0" fontId="8" fillId="3" borderId="0" xfId="0" applyNumberFormat="1" applyFont="1" applyFill="1"/>
    <xf numFmtId="0" fontId="6" fillId="3" borderId="0" xfId="0" applyFont="1" applyFill="1"/>
    <xf numFmtId="0" fontId="14" fillId="3" borderId="0" xfId="0" applyFont="1" applyFill="1"/>
    <xf numFmtId="2" fontId="14" fillId="3" borderId="0" xfId="0" applyNumberFormat="1" applyFont="1" applyFill="1"/>
    <xf numFmtId="0" fontId="6" fillId="0" borderId="0" xfId="0" applyFont="1" applyAlignment="1">
      <alignment horizontal="right"/>
    </xf>
    <xf numFmtId="0" fontId="4" fillId="0" borderId="0" xfId="1" applyAlignment="1" applyProtection="1"/>
    <xf numFmtId="0" fontId="19" fillId="3" borderId="0" xfId="0" applyFont="1" applyFill="1"/>
  </cellXfs>
  <cellStyles count="4">
    <cellStyle name="Collegamento ipertestuale" xfId="1" builtinId="8"/>
    <cellStyle name="Euro" xfId="2" xr:uid="{00000000-0005-0000-0000-000001000000}"/>
    <cellStyle name="Migliaia" xfId="3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395"/>
  <sheetViews>
    <sheetView tabSelected="1" topLeftCell="A187" zoomScaleNormal="100" workbookViewId="0">
      <selection activeCell="A229" sqref="A229"/>
    </sheetView>
  </sheetViews>
  <sheetFormatPr defaultRowHeight="13.2" x14ac:dyDescent="0.25"/>
  <cols>
    <col min="1" max="1" width="25.88671875" customWidth="1"/>
    <col min="2" max="2" width="11.88671875" customWidth="1"/>
    <col min="3" max="3" width="9.6640625" bestFit="1" customWidth="1"/>
    <col min="4" max="4" width="9.88671875" bestFit="1" customWidth="1"/>
    <col min="5" max="5" width="10.44140625" bestFit="1" customWidth="1"/>
    <col min="6" max="6" width="9.6640625" bestFit="1" customWidth="1"/>
    <col min="7" max="7" width="13.33203125" customWidth="1"/>
    <col min="8" max="8" width="9.88671875" bestFit="1" customWidth="1"/>
    <col min="9" max="9" width="10.44140625" bestFit="1" customWidth="1"/>
    <col min="10" max="12" width="9.88671875" bestFit="1" customWidth="1"/>
    <col min="13" max="13" width="10.6640625" bestFit="1" customWidth="1"/>
    <col min="14" max="16" width="11.88671875" bestFit="1" customWidth="1"/>
    <col min="17" max="17" width="10.6640625" bestFit="1" customWidth="1"/>
    <col min="18" max="18" width="9.5546875" bestFit="1" customWidth="1"/>
    <col min="19" max="20" width="9.6640625" bestFit="1" customWidth="1"/>
    <col min="21" max="21" width="12.33203125" bestFit="1" customWidth="1"/>
    <col min="22" max="22" width="11.33203125" bestFit="1" customWidth="1"/>
    <col min="24" max="24" width="9.44140625" bestFit="1" customWidth="1"/>
    <col min="25" max="25" width="9.33203125" bestFit="1" customWidth="1"/>
    <col min="26" max="26" width="7.5546875" bestFit="1" customWidth="1"/>
  </cols>
  <sheetData>
    <row r="1" spans="1:19" x14ac:dyDescent="0.25">
      <c r="B1" t="s">
        <v>158</v>
      </c>
      <c r="C1" s="88" t="s">
        <v>156</v>
      </c>
      <c r="D1" s="88" t="s">
        <v>8</v>
      </c>
      <c r="E1" s="88" t="s">
        <v>1</v>
      </c>
    </row>
    <row r="2" spans="1:19" x14ac:dyDescent="0.25">
      <c r="A2" s="1" t="s">
        <v>155</v>
      </c>
      <c r="C2">
        <v>139</v>
      </c>
      <c r="D2">
        <f>E2*30</f>
        <v>886.8</v>
      </c>
      <c r="E2">
        <v>29.56</v>
      </c>
      <c r="G2" s="89" t="s">
        <v>164</v>
      </c>
    </row>
    <row r="4" spans="1:19" x14ac:dyDescent="0.25">
      <c r="A4" s="68" t="s">
        <v>15</v>
      </c>
      <c r="B4" s="68"/>
      <c r="C4" s="76" t="s">
        <v>36</v>
      </c>
      <c r="D4" s="71">
        <f>E2/C2</f>
        <v>0.21266187050359711</v>
      </c>
      <c r="E4" s="76" t="s">
        <v>1</v>
      </c>
      <c r="G4" s="1" t="s">
        <v>131</v>
      </c>
      <c r="O4" s="69"/>
      <c r="P4" s="69"/>
      <c r="Q4" s="69"/>
      <c r="R4" s="69"/>
      <c r="S4" s="69"/>
    </row>
    <row r="5" spans="1:19" x14ac:dyDescent="0.25">
      <c r="A5" s="68"/>
      <c r="B5" s="68"/>
      <c r="C5" s="76" t="s">
        <v>36</v>
      </c>
      <c r="D5" s="71">
        <f>D2/C2</f>
        <v>6.3798561151079136</v>
      </c>
      <c r="E5" s="76" t="s">
        <v>8</v>
      </c>
      <c r="G5" s="1" t="s">
        <v>132</v>
      </c>
      <c r="O5" s="68"/>
      <c r="P5" s="68"/>
      <c r="Q5" s="68"/>
      <c r="R5" s="68"/>
      <c r="S5" s="68"/>
    </row>
    <row r="6" spans="1:19" x14ac:dyDescent="0.25">
      <c r="A6" s="68"/>
      <c r="B6" s="68"/>
      <c r="C6" s="14" t="s">
        <v>46</v>
      </c>
      <c r="D6" s="9" t="s">
        <v>47</v>
      </c>
      <c r="E6" s="77" t="s">
        <v>48</v>
      </c>
      <c r="G6" s="1" t="s">
        <v>133</v>
      </c>
      <c r="O6" s="68"/>
      <c r="P6" s="68"/>
      <c r="Q6" s="68"/>
      <c r="R6" s="68"/>
      <c r="S6" s="68"/>
    </row>
    <row r="7" spans="1:19" x14ac:dyDescent="0.25">
      <c r="A7" s="68" t="s">
        <v>24</v>
      </c>
      <c r="B7" s="73"/>
      <c r="C7" s="71">
        <v>0</v>
      </c>
      <c r="D7" s="71">
        <v>0</v>
      </c>
      <c r="E7" s="71">
        <v>0</v>
      </c>
      <c r="O7" s="68"/>
      <c r="P7" s="68"/>
      <c r="Q7" s="68"/>
      <c r="R7" s="68"/>
      <c r="S7" s="68"/>
    </row>
    <row r="8" spans="1:19" x14ac:dyDescent="0.25">
      <c r="A8" s="70"/>
      <c r="B8" s="70"/>
      <c r="C8" s="72"/>
      <c r="D8" s="72"/>
      <c r="E8" s="72"/>
    </row>
    <row r="10" spans="1:19" x14ac:dyDescent="0.25">
      <c r="A10" s="4" t="s">
        <v>17</v>
      </c>
      <c r="B10" s="10"/>
      <c r="C10" s="4" t="s">
        <v>38</v>
      </c>
      <c r="D10" s="5"/>
      <c r="E10" s="5"/>
      <c r="F10" s="4" t="s">
        <v>37</v>
      </c>
      <c r="G10" s="5"/>
      <c r="H10" s="5"/>
      <c r="I10" s="4" t="s">
        <v>25</v>
      </c>
      <c r="J10" s="5"/>
      <c r="K10" s="7"/>
      <c r="L10" s="6" t="s">
        <v>42</v>
      </c>
      <c r="M10" s="5"/>
      <c r="N10" s="7"/>
      <c r="O10" s="4" t="s">
        <v>165</v>
      </c>
      <c r="P10" s="5"/>
      <c r="Q10" s="7"/>
    </row>
    <row r="11" spans="1:19" x14ac:dyDescent="0.25">
      <c r="A11" s="8"/>
      <c r="B11" s="11" t="s">
        <v>16</v>
      </c>
      <c r="C11" s="14" t="s">
        <v>0</v>
      </c>
      <c r="D11" s="9" t="s">
        <v>3</v>
      </c>
      <c r="E11" s="9" t="s">
        <v>2</v>
      </c>
      <c r="F11" s="14" t="s">
        <v>46</v>
      </c>
      <c r="G11" s="9" t="s">
        <v>47</v>
      </c>
      <c r="H11" s="9" t="s">
        <v>48</v>
      </c>
      <c r="I11" s="86" t="s">
        <v>0</v>
      </c>
      <c r="J11" s="83" t="s">
        <v>3</v>
      </c>
      <c r="K11" s="87" t="s">
        <v>2</v>
      </c>
      <c r="L11" s="86" t="s">
        <v>0</v>
      </c>
      <c r="M11" s="83" t="s">
        <v>3</v>
      </c>
      <c r="N11" s="87" t="s">
        <v>2</v>
      </c>
      <c r="O11" s="14" t="s">
        <v>46</v>
      </c>
      <c r="P11" s="9" t="s">
        <v>47</v>
      </c>
      <c r="Q11" s="15" t="s">
        <v>48</v>
      </c>
    </row>
    <row r="12" spans="1:19" x14ac:dyDescent="0.25">
      <c r="A12" s="44" t="s">
        <v>4</v>
      </c>
      <c r="B12" s="12"/>
      <c r="C12" s="84">
        <v>139</v>
      </c>
      <c r="D12" s="42"/>
      <c r="E12" s="43"/>
      <c r="F12" s="41"/>
      <c r="G12" s="42"/>
      <c r="H12" s="42"/>
      <c r="I12" s="93">
        <f t="shared" ref="I12:I24" si="0">C12*scale2</f>
        <v>886.8</v>
      </c>
      <c r="J12" s="42"/>
      <c r="K12" s="43"/>
      <c r="L12" s="94">
        <f t="shared" ref="L12:L24" si="1">C12*scale</f>
        <v>29.56</v>
      </c>
      <c r="M12" s="42"/>
      <c r="N12" s="43"/>
      <c r="O12" s="46"/>
      <c r="P12" s="47"/>
      <c r="Q12" s="90"/>
    </row>
    <row r="13" spans="1:19" x14ac:dyDescent="0.25">
      <c r="A13" s="12" t="s">
        <v>5</v>
      </c>
      <c r="B13" s="12">
        <v>1</v>
      </c>
      <c r="C13" s="32">
        <v>25</v>
      </c>
      <c r="D13" s="33">
        <v>19</v>
      </c>
      <c r="E13" s="34">
        <v>21</v>
      </c>
      <c r="F13" s="32">
        <v>15</v>
      </c>
      <c r="G13" s="33">
        <v>0</v>
      </c>
      <c r="H13" s="33">
        <v>15</v>
      </c>
      <c r="I13" s="21">
        <f t="shared" si="0"/>
        <v>159.49640287769785</v>
      </c>
      <c r="J13" s="22">
        <f t="shared" ref="J13:J24" si="2">D13*scale2</f>
        <v>121.21726618705036</v>
      </c>
      <c r="K13" s="23">
        <f t="shared" ref="K13:K24" si="3">E13*scale2</f>
        <v>133.9769784172662</v>
      </c>
      <c r="L13" s="22">
        <f t="shared" si="1"/>
        <v>5.3165467625899279</v>
      </c>
      <c r="M13" s="22">
        <f t="shared" ref="M13:M24" si="4">D13*scale</f>
        <v>4.0405755395683451</v>
      </c>
      <c r="N13" s="23">
        <f t="shared" ref="N13:N24" si="5">E13*scale</f>
        <v>4.4658992805755391</v>
      </c>
      <c r="O13" s="48">
        <f t="shared" ref="O13:O24" si="6">F13*scale</f>
        <v>3.1899280575539568</v>
      </c>
      <c r="P13" s="49">
        <f t="shared" ref="P13:P24" si="7">G13*scale</f>
        <v>0</v>
      </c>
      <c r="Q13" s="91">
        <f t="shared" ref="Q13:Q24" si="8">H13*scale</f>
        <v>3.1899280575539568</v>
      </c>
    </row>
    <row r="14" spans="1:19" x14ac:dyDescent="0.25">
      <c r="A14" s="12" t="s">
        <v>30</v>
      </c>
      <c r="B14" s="12">
        <v>1</v>
      </c>
      <c r="C14" s="32">
        <v>5</v>
      </c>
      <c r="D14" s="33">
        <v>14</v>
      </c>
      <c r="E14" s="34">
        <v>14</v>
      </c>
      <c r="F14" s="32">
        <v>28</v>
      </c>
      <c r="G14" s="33">
        <v>0</v>
      </c>
      <c r="H14" s="33">
        <v>15</v>
      </c>
      <c r="I14" s="21">
        <f t="shared" si="0"/>
        <v>31.899280575539567</v>
      </c>
      <c r="J14" s="22">
        <f t="shared" si="2"/>
        <v>89.317985611510792</v>
      </c>
      <c r="K14" s="23">
        <f t="shared" si="3"/>
        <v>89.317985611510792</v>
      </c>
      <c r="L14" s="22">
        <f t="shared" si="1"/>
        <v>1.0633093525179855</v>
      </c>
      <c r="M14" s="22">
        <f t="shared" si="4"/>
        <v>2.9772661870503594</v>
      </c>
      <c r="N14" s="23">
        <f t="shared" si="5"/>
        <v>2.9772661870503594</v>
      </c>
      <c r="O14" s="48">
        <f t="shared" si="6"/>
        <v>5.9545323741007188</v>
      </c>
      <c r="P14" s="49">
        <f t="shared" si="7"/>
        <v>0</v>
      </c>
      <c r="Q14" s="91">
        <f t="shared" si="8"/>
        <v>3.1899280575539568</v>
      </c>
    </row>
    <row r="15" spans="1:19" x14ac:dyDescent="0.25">
      <c r="A15" s="12" t="s">
        <v>31</v>
      </c>
      <c r="B15" s="12">
        <v>1</v>
      </c>
      <c r="C15" s="32">
        <v>10</v>
      </c>
      <c r="D15" s="33">
        <v>14</v>
      </c>
      <c r="E15" s="34">
        <v>14</v>
      </c>
      <c r="F15" s="32">
        <v>-5</v>
      </c>
      <c r="G15" s="33">
        <v>0</v>
      </c>
      <c r="H15" s="33">
        <v>15</v>
      </c>
      <c r="I15" s="21">
        <f t="shared" si="0"/>
        <v>63.798561151079134</v>
      </c>
      <c r="J15" s="22">
        <f t="shared" si="2"/>
        <v>89.317985611510792</v>
      </c>
      <c r="K15" s="23">
        <f t="shared" si="3"/>
        <v>89.317985611510792</v>
      </c>
      <c r="L15" s="22">
        <f t="shared" si="1"/>
        <v>2.1266187050359711</v>
      </c>
      <c r="M15" s="22">
        <f t="shared" si="4"/>
        <v>2.9772661870503594</v>
      </c>
      <c r="N15" s="23">
        <f t="shared" si="5"/>
        <v>2.9772661870503594</v>
      </c>
      <c r="O15" s="48">
        <f t="shared" si="6"/>
        <v>-1.0633093525179855</v>
      </c>
      <c r="P15" s="49">
        <f t="shared" si="7"/>
        <v>0</v>
      </c>
      <c r="Q15" s="91">
        <f t="shared" si="8"/>
        <v>3.1899280575539568</v>
      </c>
    </row>
    <row r="16" spans="1:19" x14ac:dyDescent="0.25">
      <c r="A16" s="12" t="s">
        <v>18</v>
      </c>
      <c r="B16" s="12">
        <v>1</v>
      </c>
      <c r="C16" s="32">
        <v>20</v>
      </c>
      <c r="D16" s="33">
        <v>10</v>
      </c>
      <c r="E16" s="34">
        <v>15</v>
      </c>
      <c r="F16" s="32">
        <v>-10</v>
      </c>
      <c r="G16" s="33">
        <v>0</v>
      </c>
      <c r="H16" s="33">
        <v>15</v>
      </c>
      <c r="I16" s="21">
        <f t="shared" si="0"/>
        <v>127.59712230215827</v>
      </c>
      <c r="J16" s="22">
        <f t="shared" si="2"/>
        <v>63.798561151079134</v>
      </c>
      <c r="K16" s="23">
        <f t="shared" si="3"/>
        <v>95.697841726618705</v>
      </c>
      <c r="L16" s="22">
        <f t="shared" si="1"/>
        <v>4.2532374100719421</v>
      </c>
      <c r="M16" s="22">
        <f t="shared" si="4"/>
        <v>2.1266187050359711</v>
      </c>
      <c r="N16" s="23">
        <f t="shared" si="5"/>
        <v>3.1899280575539568</v>
      </c>
      <c r="O16" s="48">
        <f t="shared" si="6"/>
        <v>-2.1266187050359711</v>
      </c>
      <c r="P16" s="49">
        <f t="shared" si="7"/>
        <v>0</v>
      </c>
      <c r="Q16" s="91">
        <f t="shared" si="8"/>
        <v>3.1899280575539568</v>
      </c>
    </row>
    <row r="17" spans="1:26" x14ac:dyDescent="0.25">
      <c r="A17" s="74" t="s">
        <v>39</v>
      </c>
      <c r="B17" s="12">
        <v>1</v>
      </c>
      <c r="C17" s="32">
        <v>7</v>
      </c>
      <c r="D17" s="33">
        <v>15</v>
      </c>
      <c r="E17" s="34">
        <v>0.5</v>
      </c>
      <c r="F17" s="32">
        <v>-95</v>
      </c>
      <c r="G17" s="33">
        <v>5</v>
      </c>
      <c r="H17" s="33">
        <v>-4</v>
      </c>
      <c r="I17" s="21">
        <f t="shared" si="0"/>
        <v>44.658992805755396</v>
      </c>
      <c r="J17" s="22">
        <f t="shared" si="2"/>
        <v>95.697841726618705</v>
      </c>
      <c r="K17" s="23">
        <f t="shared" si="3"/>
        <v>3.1899280575539568</v>
      </c>
      <c r="L17" s="22">
        <f t="shared" si="1"/>
        <v>1.4886330935251797</v>
      </c>
      <c r="M17" s="22">
        <f t="shared" si="4"/>
        <v>3.1899280575539568</v>
      </c>
      <c r="N17" s="23">
        <f t="shared" si="5"/>
        <v>0.10633093525179856</v>
      </c>
      <c r="O17" s="48">
        <f t="shared" si="6"/>
        <v>-20.202877697841725</v>
      </c>
      <c r="P17" s="49">
        <f t="shared" si="7"/>
        <v>1.0633093525179855</v>
      </c>
      <c r="Q17" s="91">
        <f t="shared" si="8"/>
        <v>-0.85064748201438845</v>
      </c>
    </row>
    <row r="18" spans="1:26" x14ac:dyDescent="0.25">
      <c r="A18" s="75" t="s">
        <v>14</v>
      </c>
      <c r="B18" s="12">
        <v>1</v>
      </c>
      <c r="C18" s="32">
        <v>65</v>
      </c>
      <c r="D18" s="33">
        <v>6</v>
      </c>
      <c r="E18" s="34">
        <v>6</v>
      </c>
      <c r="F18" s="32">
        <v>-56</v>
      </c>
      <c r="G18" s="33">
        <v>0</v>
      </c>
      <c r="H18" s="33">
        <v>0</v>
      </c>
      <c r="I18" s="21">
        <f t="shared" si="0"/>
        <v>414.69064748201441</v>
      </c>
      <c r="J18" s="22">
        <f t="shared" si="2"/>
        <v>38.279136690647483</v>
      </c>
      <c r="K18" s="23">
        <f t="shared" si="3"/>
        <v>38.279136690647483</v>
      </c>
      <c r="L18" s="22">
        <f t="shared" si="1"/>
        <v>13.823021582733812</v>
      </c>
      <c r="M18" s="22">
        <f t="shared" si="4"/>
        <v>1.2759712230215827</v>
      </c>
      <c r="N18" s="23">
        <f t="shared" si="5"/>
        <v>1.2759712230215827</v>
      </c>
      <c r="O18" s="48">
        <f t="shared" si="6"/>
        <v>-11.909064748201438</v>
      </c>
      <c r="P18" s="49">
        <f t="shared" si="7"/>
        <v>0</v>
      </c>
      <c r="Q18" s="91">
        <f t="shared" si="8"/>
        <v>0</v>
      </c>
    </row>
    <row r="19" spans="1:26" x14ac:dyDescent="0.25">
      <c r="A19" s="74" t="s">
        <v>40</v>
      </c>
      <c r="B19" s="12">
        <v>1</v>
      </c>
      <c r="C19" s="32">
        <v>27</v>
      </c>
      <c r="D19" s="33">
        <v>0.5</v>
      </c>
      <c r="E19" s="34">
        <v>7</v>
      </c>
      <c r="F19" s="32">
        <v>-95</v>
      </c>
      <c r="G19" s="33">
        <v>0</v>
      </c>
      <c r="H19" s="53">
        <v>-10</v>
      </c>
      <c r="I19" s="21">
        <f t="shared" si="0"/>
        <v>172.25611510791367</v>
      </c>
      <c r="J19" s="22">
        <f t="shared" si="2"/>
        <v>3.1899280575539568</v>
      </c>
      <c r="K19" s="23">
        <f t="shared" si="3"/>
        <v>44.658992805755396</v>
      </c>
      <c r="L19" s="22">
        <f t="shared" si="1"/>
        <v>5.7418705035971218</v>
      </c>
      <c r="M19" s="22">
        <f t="shared" si="4"/>
        <v>0.10633093525179856</v>
      </c>
      <c r="N19" s="23">
        <f>E19*scale</f>
        <v>1.4886330935251797</v>
      </c>
      <c r="O19" s="48">
        <f t="shared" si="6"/>
        <v>-20.202877697841725</v>
      </c>
      <c r="P19" s="49">
        <f t="shared" si="7"/>
        <v>0</v>
      </c>
      <c r="Q19" s="91">
        <f t="shared" si="8"/>
        <v>-2.1266187050359711</v>
      </c>
    </row>
    <row r="20" spans="1:26" x14ac:dyDescent="0.25">
      <c r="A20" s="74" t="s">
        <v>7</v>
      </c>
      <c r="B20" s="12">
        <v>1</v>
      </c>
      <c r="C20" s="32">
        <v>23</v>
      </c>
      <c r="D20" s="33">
        <v>0.1</v>
      </c>
      <c r="E20" s="34">
        <v>4</v>
      </c>
      <c r="F20" s="32">
        <v>-95</v>
      </c>
      <c r="G20" s="33">
        <v>0</v>
      </c>
      <c r="H20" s="33">
        <v>-10</v>
      </c>
      <c r="I20" s="21">
        <f t="shared" si="0"/>
        <v>146.73669064748202</v>
      </c>
      <c r="J20" s="22">
        <f t="shared" si="2"/>
        <v>0.63798561151079136</v>
      </c>
      <c r="K20" s="23">
        <f t="shared" si="3"/>
        <v>25.519424460431654</v>
      </c>
      <c r="L20" s="22">
        <f t="shared" si="1"/>
        <v>4.8912230215827339</v>
      </c>
      <c r="M20" s="22">
        <f t="shared" si="4"/>
        <v>2.1266187050359712E-2</v>
      </c>
      <c r="N20" s="23">
        <f t="shared" si="5"/>
        <v>0.85064748201438845</v>
      </c>
      <c r="O20" s="48">
        <f t="shared" si="6"/>
        <v>-20.202877697841725</v>
      </c>
      <c r="P20" s="49">
        <f t="shared" si="7"/>
        <v>0</v>
      </c>
      <c r="Q20" s="91">
        <f t="shared" si="8"/>
        <v>-2.1266187050359711</v>
      </c>
    </row>
    <row r="21" spans="1:26" x14ac:dyDescent="0.25">
      <c r="A21" s="12" t="s">
        <v>32</v>
      </c>
      <c r="B21" s="12">
        <v>1</v>
      </c>
      <c r="C21" s="32">
        <v>43</v>
      </c>
      <c r="D21" s="33">
        <v>2</v>
      </c>
      <c r="E21" s="34">
        <v>2</v>
      </c>
      <c r="F21" s="32">
        <v>0</v>
      </c>
      <c r="G21" s="33">
        <v>15</v>
      </c>
      <c r="H21" s="33">
        <v>27</v>
      </c>
      <c r="I21" s="21">
        <f t="shared" si="0"/>
        <v>274.33381294964028</v>
      </c>
      <c r="J21" s="22">
        <f t="shared" si="2"/>
        <v>12.759712230215827</v>
      </c>
      <c r="K21" s="23">
        <f t="shared" si="3"/>
        <v>12.759712230215827</v>
      </c>
      <c r="L21" s="22">
        <f t="shared" si="1"/>
        <v>9.1444604316546751</v>
      </c>
      <c r="M21" s="22">
        <f t="shared" si="4"/>
        <v>0.42532374100719422</v>
      </c>
      <c r="N21" s="23">
        <f t="shared" si="5"/>
        <v>0.42532374100719422</v>
      </c>
      <c r="O21" s="48">
        <f t="shared" si="6"/>
        <v>0</v>
      </c>
      <c r="P21" s="49">
        <f t="shared" si="7"/>
        <v>3.1899280575539568</v>
      </c>
      <c r="Q21" s="91">
        <f t="shared" si="8"/>
        <v>5.7418705035971218</v>
      </c>
    </row>
    <row r="22" spans="1:26" x14ac:dyDescent="0.25">
      <c r="A22" s="12" t="s">
        <v>33</v>
      </c>
      <c r="B22" s="12">
        <v>1</v>
      </c>
      <c r="C22" s="32">
        <v>43</v>
      </c>
      <c r="D22" s="33">
        <v>2</v>
      </c>
      <c r="E22" s="34">
        <v>2</v>
      </c>
      <c r="F22" s="32">
        <v>0</v>
      </c>
      <c r="G22" s="33">
        <v>-15</v>
      </c>
      <c r="H22" s="33">
        <v>27</v>
      </c>
      <c r="I22" s="21">
        <f t="shared" si="0"/>
        <v>274.33381294964028</v>
      </c>
      <c r="J22" s="22">
        <f t="shared" si="2"/>
        <v>12.759712230215827</v>
      </c>
      <c r="K22" s="23">
        <f t="shared" si="3"/>
        <v>12.759712230215827</v>
      </c>
      <c r="L22" s="22">
        <f t="shared" si="1"/>
        <v>9.1444604316546751</v>
      </c>
      <c r="M22" s="22">
        <f t="shared" si="4"/>
        <v>0.42532374100719422</v>
      </c>
      <c r="N22" s="23">
        <f t="shared" si="5"/>
        <v>0.42532374100719422</v>
      </c>
      <c r="O22" s="48">
        <f t="shared" si="6"/>
        <v>0</v>
      </c>
      <c r="P22" s="49">
        <f t="shared" si="7"/>
        <v>-3.1899280575539568</v>
      </c>
      <c r="Q22" s="91">
        <f t="shared" si="8"/>
        <v>5.7418705035971218</v>
      </c>
    </row>
    <row r="23" spans="1:26" x14ac:dyDescent="0.25">
      <c r="A23" s="74" t="s">
        <v>41</v>
      </c>
      <c r="B23" s="12">
        <v>1</v>
      </c>
      <c r="C23" s="32">
        <v>8</v>
      </c>
      <c r="D23" s="33">
        <v>4</v>
      </c>
      <c r="E23" s="34">
        <v>17</v>
      </c>
      <c r="F23" s="33">
        <v>-5</v>
      </c>
      <c r="G23" s="33">
        <v>0</v>
      </c>
      <c r="H23" s="33">
        <v>-18</v>
      </c>
      <c r="I23" s="21">
        <f t="shared" si="0"/>
        <v>51.038848920863309</v>
      </c>
      <c r="J23" s="22">
        <f t="shared" si="2"/>
        <v>25.519424460431654</v>
      </c>
      <c r="K23" s="23">
        <f t="shared" si="3"/>
        <v>108.45755395683453</v>
      </c>
      <c r="L23" s="22">
        <f t="shared" si="1"/>
        <v>1.7012949640287769</v>
      </c>
      <c r="M23" s="22">
        <f t="shared" si="4"/>
        <v>0.85064748201438845</v>
      </c>
      <c r="N23" s="23">
        <f t="shared" si="5"/>
        <v>3.6152517985611508</v>
      </c>
      <c r="O23" s="48">
        <f t="shared" si="6"/>
        <v>-1.0633093525179855</v>
      </c>
      <c r="P23" s="49">
        <f t="shared" si="7"/>
        <v>0</v>
      </c>
      <c r="Q23" s="91">
        <f t="shared" si="8"/>
        <v>-3.8279136690647482</v>
      </c>
    </row>
    <row r="24" spans="1:26" x14ac:dyDescent="0.25">
      <c r="A24" s="13" t="s">
        <v>6</v>
      </c>
      <c r="B24" s="13">
        <v>2</v>
      </c>
      <c r="C24" s="36">
        <v>78</v>
      </c>
      <c r="D24" s="36">
        <v>2.8</v>
      </c>
      <c r="E24" s="85">
        <v>0.5</v>
      </c>
      <c r="F24" s="35">
        <v>-5</v>
      </c>
      <c r="G24" s="36">
        <v>0</v>
      </c>
      <c r="H24" s="115">
        <v>-18</v>
      </c>
      <c r="I24" s="24">
        <f t="shared" si="0"/>
        <v>497.62877697841725</v>
      </c>
      <c r="J24" s="19">
        <f t="shared" si="2"/>
        <v>17.863597122302156</v>
      </c>
      <c r="K24" s="20">
        <f t="shared" si="3"/>
        <v>3.1899280575539568</v>
      </c>
      <c r="L24" s="19">
        <f t="shared" si="1"/>
        <v>16.587625899280575</v>
      </c>
      <c r="M24" s="78">
        <f t="shared" si="4"/>
        <v>0.59545323741007183</v>
      </c>
      <c r="N24" s="20">
        <f t="shared" si="5"/>
        <v>0.10633093525179856</v>
      </c>
      <c r="O24" s="50">
        <f t="shared" si="6"/>
        <v>-1.0633093525179855</v>
      </c>
      <c r="P24" s="51">
        <f t="shared" si="7"/>
        <v>0</v>
      </c>
      <c r="Q24" s="92">
        <f t="shared" si="8"/>
        <v>-3.8279136690647482</v>
      </c>
    </row>
    <row r="25" spans="1:26" x14ac:dyDescent="0.25">
      <c r="O25" s="2"/>
      <c r="P25" s="2"/>
      <c r="Q25" s="2"/>
    </row>
    <row r="26" spans="1:26" x14ac:dyDescent="0.25">
      <c r="M26" s="1" t="s">
        <v>34</v>
      </c>
      <c r="N26" s="1">
        <v>32.17</v>
      </c>
    </row>
    <row r="27" spans="1:26" x14ac:dyDescent="0.25">
      <c r="A27" s="4" t="s">
        <v>17</v>
      </c>
      <c r="B27" s="4" t="s">
        <v>27</v>
      </c>
      <c r="C27" s="7"/>
      <c r="D27" s="4" t="s">
        <v>28</v>
      </c>
      <c r="E27" s="7"/>
      <c r="F27" s="4" t="s">
        <v>167</v>
      </c>
      <c r="G27" s="7"/>
      <c r="H27" s="4" t="s">
        <v>11</v>
      </c>
      <c r="I27" s="6"/>
      <c r="J27" s="7"/>
      <c r="K27" s="4" t="s">
        <v>13</v>
      </c>
      <c r="L27" s="6"/>
      <c r="M27" s="6"/>
      <c r="N27" s="31"/>
    </row>
    <row r="28" spans="1:26" x14ac:dyDescent="0.25">
      <c r="A28" s="45"/>
      <c r="B28" s="14" t="s">
        <v>9</v>
      </c>
      <c r="C28" s="15" t="s">
        <v>10</v>
      </c>
      <c r="D28" s="14" t="s">
        <v>9</v>
      </c>
      <c r="E28" s="15" t="s">
        <v>10</v>
      </c>
      <c r="F28" s="14" t="s">
        <v>9</v>
      </c>
      <c r="G28" s="15" t="s">
        <v>10</v>
      </c>
      <c r="H28" s="14" t="s">
        <v>9</v>
      </c>
      <c r="I28" s="9" t="s">
        <v>23</v>
      </c>
      <c r="J28" s="15" t="s">
        <v>12</v>
      </c>
      <c r="K28" s="14" t="s">
        <v>19</v>
      </c>
      <c r="L28" s="9" t="s">
        <v>20</v>
      </c>
      <c r="M28" s="9" t="s">
        <v>21</v>
      </c>
      <c r="N28" s="15" t="s">
        <v>22</v>
      </c>
      <c r="Y28" s="17"/>
      <c r="Z28" s="17"/>
    </row>
    <row r="29" spans="1:26" x14ac:dyDescent="0.25">
      <c r="A29" s="44" t="str">
        <f t="shared" ref="A29:A41" si="9">A12</f>
        <v>helicopter</v>
      </c>
      <c r="B29" s="16"/>
      <c r="C29" s="18"/>
      <c r="D29" s="16"/>
      <c r="E29" s="18"/>
      <c r="F29" s="16"/>
      <c r="G29" s="18"/>
      <c r="H29" s="16"/>
      <c r="I29" s="17"/>
      <c r="J29" s="18"/>
      <c r="K29" s="16"/>
      <c r="L29" s="17"/>
      <c r="M29" s="17">
        <v>0.45</v>
      </c>
      <c r="N29" s="23">
        <f>M29/0.45</f>
        <v>1</v>
      </c>
      <c r="Y29" s="17"/>
      <c r="Z29" s="17"/>
    </row>
    <row r="30" spans="1:26" x14ac:dyDescent="0.25">
      <c r="A30" s="12" t="str">
        <f t="shared" si="9"/>
        <v>cabin</v>
      </c>
      <c r="B30" s="37">
        <v>0.05</v>
      </c>
      <c r="C30" s="23">
        <f t="shared" ref="C30:C41" si="10">N13*M13*(1-B30)*B13</f>
        <v>17.142563225505924</v>
      </c>
      <c r="D30" s="37">
        <v>0.05</v>
      </c>
      <c r="E30" s="23">
        <f t="shared" ref="E30:E40" si="11">L13*N13*(1-D30)*B13</f>
        <v>22.556004244086743</v>
      </c>
      <c r="F30" s="37">
        <v>0</v>
      </c>
      <c r="G30" s="23">
        <f t="shared" ref="G30:G41" si="12">L13*M13*(1-F30)*B13</f>
        <v>21.481908803892136</v>
      </c>
      <c r="H30" s="37">
        <v>0.05</v>
      </c>
      <c r="I30" s="29">
        <f t="shared" ref="I30:I41" si="13">I13*K13*J13*B13*(1-H30)/1000</f>
        <v>2460.7594535145308</v>
      </c>
      <c r="J30" s="23">
        <f t="shared" ref="J30:J41" si="14">L13*N13*M13*(1-H30)*B13</f>
        <v>91.139239019056674</v>
      </c>
      <c r="K30" s="39">
        <v>65</v>
      </c>
      <c r="L30" s="56">
        <f t="shared" ref="L30:L41" si="15">K30/440*9</f>
        <v>1.3295454545454546</v>
      </c>
      <c r="M30" s="22">
        <f>I30*K30/1000</f>
        <v>159.94936447844449</v>
      </c>
      <c r="N30" s="23">
        <f>M30/$M$29</f>
        <v>355.4430321743211</v>
      </c>
      <c r="Y30" s="17"/>
      <c r="Z30" s="17"/>
    </row>
    <row r="31" spans="1:26" x14ac:dyDescent="0.25">
      <c r="A31" s="12" t="str">
        <f t="shared" si="9"/>
        <v>nose</v>
      </c>
      <c r="B31" s="37">
        <v>1</v>
      </c>
      <c r="C31" s="23">
        <f t="shared" si="10"/>
        <v>0</v>
      </c>
      <c r="D31" s="37">
        <v>0.25</v>
      </c>
      <c r="E31" s="23">
        <f t="shared" si="11"/>
        <v>2.374316236219657</v>
      </c>
      <c r="F31" s="37">
        <v>0.3</v>
      </c>
      <c r="G31" s="23">
        <f t="shared" si="12"/>
        <v>2.2160284871383462</v>
      </c>
      <c r="H31" s="37">
        <v>0.05</v>
      </c>
      <c r="I31" s="29">
        <f t="shared" si="13"/>
        <v>241.75882350318196</v>
      </c>
      <c r="J31" s="23">
        <f t="shared" si="14"/>
        <v>8.9540305001178488</v>
      </c>
      <c r="K31" s="39">
        <v>65</v>
      </c>
      <c r="L31" s="56">
        <f t="shared" si="15"/>
        <v>1.3295454545454546</v>
      </c>
      <c r="M31" s="22">
        <f>I31*K31/1000</f>
        <v>15.714323527706828</v>
      </c>
      <c r="N31" s="23">
        <f t="shared" ref="N31:N41" si="16">M31/$M$29</f>
        <v>34.920718950459616</v>
      </c>
      <c r="Y31" s="17"/>
      <c r="Z31" s="17"/>
    </row>
    <row r="32" spans="1:26" x14ac:dyDescent="0.25">
      <c r="A32" s="12" t="str">
        <f t="shared" si="9"/>
        <v>luggage</v>
      </c>
      <c r="B32" s="37">
        <v>1</v>
      </c>
      <c r="C32" s="23">
        <f t="shared" si="10"/>
        <v>0</v>
      </c>
      <c r="D32" s="37">
        <v>0.05</v>
      </c>
      <c r="E32" s="23">
        <f t="shared" si="11"/>
        <v>6.0149344650897971</v>
      </c>
      <c r="F32" s="37">
        <v>0.5</v>
      </c>
      <c r="G32" s="23">
        <f t="shared" si="12"/>
        <v>3.1657549816262094</v>
      </c>
      <c r="H32" s="37">
        <v>0</v>
      </c>
      <c r="I32" s="29">
        <f t="shared" si="13"/>
        <v>508.96594421722517</v>
      </c>
      <c r="J32" s="23">
        <f t="shared" si="14"/>
        <v>18.850590526563892</v>
      </c>
      <c r="K32" s="39">
        <v>65</v>
      </c>
      <c r="L32" s="56">
        <f t="shared" si="15"/>
        <v>1.3295454545454546</v>
      </c>
      <c r="M32" s="22">
        <f>I32*K32/1000</f>
        <v>33.082786374119635</v>
      </c>
      <c r="N32" s="23">
        <f t="shared" si="16"/>
        <v>73.517303053599193</v>
      </c>
      <c r="Y32" s="17"/>
      <c r="Z32" s="17"/>
    </row>
    <row r="33" spans="1:27" x14ac:dyDescent="0.25">
      <c r="A33" s="12" t="str">
        <f t="shared" si="9"/>
        <v>engine</v>
      </c>
      <c r="B33" s="37">
        <v>1</v>
      </c>
      <c r="C33" s="23">
        <f t="shared" si="10"/>
        <v>0</v>
      </c>
      <c r="D33" s="37">
        <v>0.1</v>
      </c>
      <c r="E33" s="23">
        <f t="shared" si="11"/>
        <v>12.210769214843952</v>
      </c>
      <c r="F33" s="37">
        <v>0.3</v>
      </c>
      <c r="G33" s="23">
        <f t="shared" si="12"/>
        <v>6.3315099632524179</v>
      </c>
      <c r="H33" s="37">
        <v>0.1</v>
      </c>
      <c r="I33" s="29">
        <f t="shared" si="13"/>
        <v>701.12655580944272</v>
      </c>
      <c r="J33" s="23">
        <f t="shared" si="14"/>
        <v>25.967650215164547</v>
      </c>
      <c r="K33" s="39">
        <v>504</v>
      </c>
      <c r="L33" s="56">
        <f t="shared" si="15"/>
        <v>10.309090909090909</v>
      </c>
      <c r="M33" s="22">
        <f t="shared" ref="M33:M40" si="17">I33*K33/1000</f>
        <v>353.36778412795911</v>
      </c>
      <c r="N33" s="23">
        <f t="shared" si="16"/>
        <v>785.26174250657573</v>
      </c>
      <c r="Y33" s="17"/>
      <c r="Z33" s="17"/>
    </row>
    <row r="34" spans="1:27" x14ac:dyDescent="0.25">
      <c r="A34" s="12" t="str">
        <f t="shared" si="9"/>
        <v>horiz stabilizer</v>
      </c>
      <c r="B34" s="37">
        <v>1</v>
      </c>
      <c r="C34" s="23">
        <f t="shared" si="10"/>
        <v>0</v>
      </c>
      <c r="D34" s="37">
        <v>0</v>
      </c>
      <c r="E34" s="23">
        <f t="shared" si="11"/>
        <v>0.15828774908131046</v>
      </c>
      <c r="F34" s="37">
        <v>0</v>
      </c>
      <c r="G34" s="60">
        <f t="shared" si="12"/>
        <v>4.7486324724393141</v>
      </c>
      <c r="H34" s="37">
        <v>0</v>
      </c>
      <c r="I34" s="29">
        <f t="shared" si="13"/>
        <v>13.633016362961389</v>
      </c>
      <c r="J34" s="23">
        <f t="shared" si="14"/>
        <v>0.50492653196153281</v>
      </c>
      <c r="K34" s="39">
        <v>60</v>
      </c>
      <c r="L34" s="56">
        <f t="shared" si="15"/>
        <v>1.2272727272727271</v>
      </c>
      <c r="M34" s="22">
        <f>I34*K34/1000</f>
        <v>0.8179809817776833</v>
      </c>
      <c r="N34" s="23">
        <f t="shared" si="16"/>
        <v>1.8177355150615184</v>
      </c>
      <c r="Y34" s="17"/>
      <c r="Z34" s="17"/>
    </row>
    <row r="35" spans="1:27" x14ac:dyDescent="0.25">
      <c r="A35" s="12" t="str">
        <f t="shared" si="9"/>
        <v>tail boom</v>
      </c>
      <c r="B35" s="37">
        <v>1</v>
      </c>
      <c r="C35" s="23">
        <f t="shared" si="10"/>
        <v>0</v>
      </c>
      <c r="D35" s="37">
        <v>0</v>
      </c>
      <c r="E35" s="23">
        <f t="shared" si="11"/>
        <v>17.637777754774596</v>
      </c>
      <c r="F35" s="37">
        <v>0</v>
      </c>
      <c r="G35" s="23">
        <f t="shared" si="12"/>
        <v>17.637777754774596</v>
      </c>
      <c r="H35" s="37">
        <v>0</v>
      </c>
      <c r="I35" s="29">
        <f t="shared" si="13"/>
        <v>607.64301503485058</v>
      </c>
      <c r="J35" s="23">
        <f t="shared" si="14"/>
        <v>22.505296853142607</v>
      </c>
      <c r="K35" s="39">
        <v>60</v>
      </c>
      <c r="L35" s="56">
        <f t="shared" si="15"/>
        <v>1.2272727272727271</v>
      </c>
      <c r="M35" s="22">
        <f t="shared" si="17"/>
        <v>36.458580902091036</v>
      </c>
      <c r="N35" s="23">
        <f t="shared" si="16"/>
        <v>81.019068671313406</v>
      </c>
      <c r="Y35" s="17"/>
      <c r="Z35" s="17"/>
    </row>
    <row r="36" spans="1:27" x14ac:dyDescent="0.25">
      <c r="A36" s="12" t="str">
        <f t="shared" si="9"/>
        <v>vert stabilizer</v>
      </c>
      <c r="B36" s="37">
        <v>1</v>
      </c>
      <c r="C36" s="23">
        <f t="shared" si="10"/>
        <v>0</v>
      </c>
      <c r="D36" s="37">
        <v>0</v>
      </c>
      <c r="E36" s="60">
        <f t="shared" si="11"/>
        <v>8.5475384503907641</v>
      </c>
      <c r="F36" s="37">
        <v>0</v>
      </c>
      <c r="G36" s="23">
        <f t="shared" si="12"/>
        <v>0.61053846074219753</v>
      </c>
      <c r="H36" s="37">
        <v>0</v>
      </c>
      <c r="I36" s="29">
        <f t="shared" si="13"/>
        <v>24.539429453330499</v>
      </c>
      <c r="J36" s="23">
        <f t="shared" si="14"/>
        <v>0.90886775753075888</v>
      </c>
      <c r="K36" s="39">
        <v>60</v>
      </c>
      <c r="L36" s="56">
        <f t="shared" si="15"/>
        <v>1.2272727272727271</v>
      </c>
      <c r="M36" s="22">
        <f t="shared" si="17"/>
        <v>1.4723657671998298</v>
      </c>
      <c r="N36" s="23">
        <f t="shared" si="16"/>
        <v>3.2719239271107328</v>
      </c>
      <c r="Y36" s="17"/>
      <c r="Z36" s="17"/>
    </row>
    <row r="37" spans="1:27" x14ac:dyDescent="0.25">
      <c r="A37" s="12" t="str">
        <f t="shared" si="9"/>
        <v>tail rotor</v>
      </c>
      <c r="B37" s="37">
        <v>1</v>
      </c>
      <c r="C37" s="23">
        <f t="shared" si="10"/>
        <v>0</v>
      </c>
      <c r="D37" s="37">
        <v>0</v>
      </c>
      <c r="E37" s="23">
        <f t="shared" si="11"/>
        <v>4.160706547280161</v>
      </c>
      <c r="F37" s="37">
        <v>1</v>
      </c>
      <c r="G37" s="23">
        <f t="shared" si="12"/>
        <v>0</v>
      </c>
      <c r="H37" s="37">
        <v>0</v>
      </c>
      <c r="I37" s="29">
        <f t="shared" si="13"/>
        <v>2.3890238197951383</v>
      </c>
      <c r="J37" s="23">
        <f t="shared" si="14"/>
        <v>8.8482363696116229E-2</v>
      </c>
      <c r="K37" s="39">
        <v>200</v>
      </c>
      <c r="L37" s="56">
        <f t="shared" si="15"/>
        <v>4.0909090909090908</v>
      </c>
      <c r="M37" s="22">
        <f t="shared" si="17"/>
        <v>0.47780476395902771</v>
      </c>
      <c r="N37" s="23">
        <f t="shared" si="16"/>
        <v>1.061788364353395</v>
      </c>
      <c r="Y37" s="17"/>
      <c r="Z37" s="17"/>
    </row>
    <row r="38" spans="1:27" x14ac:dyDescent="0.25">
      <c r="A38" s="12" t="str">
        <f t="shared" si="9"/>
        <v>skid1</v>
      </c>
      <c r="B38" s="37">
        <v>0</v>
      </c>
      <c r="C38" s="23">
        <f t="shared" si="10"/>
        <v>0.18090028466435482</v>
      </c>
      <c r="D38" s="37">
        <v>0</v>
      </c>
      <c r="E38" s="23">
        <f t="shared" si="11"/>
        <v>3.8893561202836286</v>
      </c>
      <c r="F38" s="37">
        <v>0</v>
      </c>
      <c r="G38" s="23">
        <f t="shared" si="12"/>
        <v>3.8893561202836286</v>
      </c>
      <c r="H38" s="37">
        <v>0</v>
      </c>
      <c r="I38" s="29">
        <f t="shared" si="13"/>
        <v>44.664358370083022</v>
      </c>
      <c r="J38" s="23">
        <f t="shared" si="14"/>
        <v>1.6542354951882599</v>
      </c>
      <c r="K38" s="39">
        <v>350</v>
      </c>
      <c r="L38" s="56">
        <f t="shared" si="15"/>
        <v>7.1590909090909083</v>
      </c>
      <c r="M38" s="22">
        <f t="shared" si="17"/>
        <v>15.632525429529057</v>
      </c>
      <c r="N38" s="23">
        <f t="shared" si="16"/>
        <v>34.738945398953462</v>
      </c>
      <c r="Y38" s="17"/>
      <c r="Z38" s="17"/>
    </row>
    <row r="39" spans="1:27" x14ac:dyDescent="0.25">
      <c r="A39" s="12" t="str">
        <f t="shared" si="9"/>
        <v>skid2</v>
      </c>
      <c r="B39" s="37">
        <v>0</v>
      </c>
      <c r="C39" s="23">
        <f t="shared" si="10"/>
        <v>0.18090028466435482</v>
      </c>
      <c r="D39" s="37">
        <v>0</v>
      </c>
      <c r="E39" s="23">
        <f t="shared" si="11"/>
        <v>3.8893561202836286</v>
      </c>
      <c r="F39" s="37">
        <v>0</v>
      </c>
      <c r="G39" s="23">
        <f t="shared" si="12"/>
        <v>3.8893561202836286</v>
      </c>
      <c r="H39" s="37">
        <v>0</v>
      </c>
      <c r="I39" s="29">
        <f t="shared" si="13"/>
        <v>44.664358370083022</v>
      </c>
      <c r="J39" s="23">
        <f t="shared" si="14"/>
        <v>1.6542354951882599</v>
      </c>
      <c r="K39" s="39">
        <v>350</v>
      </c>
      <c r="L39" s="56">
        <f t="shared" si="15"/>
        <v>7.1590909090909083</v>
      </c>
      <c r="M39" s="22">
        <f>I39*K39/1000</f>
        <v>15.632525429529057</v>
      </c>
      <c r="N39" s="23">
        <f t="shared" si="16"/>
        <v>34.738945398953462</v>
      </c>
      <c r="Y39" s="17"/>
      <c r="Z39" s="17"/>
    </row>
    <row r="40" spans="1:27" x14ac:dyDescent="0.25">
      <c r="A40" s="12" t="str">
        <f t="shared" si="9"/>
        <v>main rotor</v>
      </c>
      <c r="B40" s="37">
        <v>0</v>
      </c>
      <c r="C40" s="23">
        <f t="shared" si="10"/>
        <v>3.0753048392940321</v>
      </c>
      <c r="D40" s="37">
        <v>0.05</v>
      </c>
      <c r="E40" s="23">
        <f t="shared" si="11"/>
        <v>5.8430791946586611</v>
      </c>
      <c r="F40" s="37">
        <v>1</v>
      </c>
      <c r="G40" s="23">
        <f t="shared" si="12"/>
        <v>0</v>
      </c>
      <c r="H40" s="37">
        <v>0</v>
      </c>
      <c r="I40" s="29">
        <f t="shared" si="13"/>
        <v>141.26401717049515</v>
      </c>
      <c r="J40" s="23">
        <f t="shared" si="14"/>
        <v>5.2320006359442637</v>
      </c>
      <c r="K40" s="39">
        <v>100</v>
      </c>
      <c r="L40" s="56">
        <f t="shared" si="15"/>
        <v>2.0454545454545454</v>
      </c>
      <c r="M40" s="22">
        <f t="shared" si="17"/>
        <v>14.126401717049516</v>
      </c>
      <c r="N40" s="23">
        <f>M40/$M$29</f>
        <v>31.392003815665589</v>
      </c>
      <c r="Y40" s="17"/>
      <c r="Z40" s="17"/>
    </row>
    <row r="41" spans="1:27" x14ac:dyDescent="0.25">
      <c r="A41" s="13" t="str">
        <f t="shared" si="9"/>
        <v>blades</v>
      </c>
      <c r="B41" s="38">
        <v>1</v>
      </c>
      <c r="C41" s="20">
        <f t="shared" si="10"/>
        <v>0</v>
      </c>
      <c r="D41" s="38">
        <v>0</v>
      </c>
      <c r="E41" s="20">
        <f>C41</f>
        <v>0</v>
      </c>
      <c r="F41" s="38">
        <v>1</v>
      </c>
      <c r="G41" s="23">
        <f t="shared" si="12"/>
        <v>0</v>
      </c>
      <c r="H41" s="37">
        <v>0</v>
      </c>
      <c r="I41" s="29">
        <f t="shared" si="13"/>
        <v>56.713348069919363</v>
      </c>
      <c r="J41" s="23">
        <f t="shared" si="14"/>
        <v>2.1004943729599761</v>
      </c>
      <c r="K41" s="40">
        <v>550</v>
      </c>
      <c r="L41" s="57">
        <f t="shared" si="15"/>
        <v>11.25</v>
      </c>
      <c r="M41" s="19">
        <f>I41*K41/1000</f>
        <v>31.192341438455649</v>
      </c>
      <c r="N41" s="23">
        <f t="shared" si="16"/>
        <v>69.316314307679221</v>
      </c>
      <c r="Y41" s="17"/>
      <c r="Z41" s="17"/>
    </row>
    <row r="42" spans="1:27" x14ac:dyDescent="0.25">
      <c r="B42" s="25"/>
      <c r="C42" s="26">
        <f>SUM(C30:C41)</f>
        <v>20.579668634128662</v>
      </c>
      <c r="D42" s="27"/>
      <c r="E42" s="26">
        <f>SUM(E30:E41)</f>
        <v>87.282126096992883</v>
      </c>
      <c r="F42" s="27"/>
      <c r="G42" s="26">
        <f>SUM(G30:G41)</f>
        <v>63.970863164432473</v>
      </c>
      <c r="H42" s="25"/>
      <c r="I42" s="28"/>
      <c r="J42" s="59">
        <f>SUM(J30:J41)</f>
        <v>179.56004976651477</v>
      </c>
      <c r="K42" s="54"/>
      <c r="L42" s="63"/>
      <c r="M42" s="62">
        <f>SUM(M30:M41)</f>
        <v>677.92478493782096</v>
      </c>
      <c r="N42" s="54">
        <f>SUM(N30:N41)</f>
        <v>1506.4995220840462</v>
      </c>
      <c r="Y42" s="17"/>
      <c r="Z42" s="17"/>
    </row>
    <row r="43" spans="1:27" x14ac:dyDescent="0.25">
      <c r="C43" s="2"/>
      <c r="E43" s="2"/>
      <c r="G43" s="2"/>
      <c r="K43" s="64" t="s">
        <v>35</v>
      </c>
      <c r="L43" s="25"/>
      <c r="M43" s="65">
        <f>N43*M29</f>
        <v>677.7</v>
      </c>
      <c r="N43" s="66">
        <v>1506</v>
      </c>
      <c r="Y43" s="17"/>
      <c r="Z43" s="17"/>
    </row>
    <row r="44" spans="1:27" x14ac:dyDescent="0.25">
      <c r="G44" s="17"/>
      <c r="H44" s="17"/>
      <c r="K44" s="30"/>
      <c r="M44" s="67">
        <f>M42/M43</f>
        <v>1.0003316879708144</v>
      </c>
      <c r="N44" s="67">
        <f>N42/N43</f>
        <v>1.0003316879708142</v>
      </c>
      <c r="W44" s="17"/>
      <c r="X44" s="17"/>
      <c r="AA44" s="30"/>
    </row>
    <row r="45" spans="1:27" x14ac:dyDescent="0.25">
      <c r="Z45" s="17"/>
      <c r="AA45" s="17"/>
    </row>
    <row r="46" spans="1:27" x14ac:dyDescent="0.25">
      <c r="B46" s="1" t="s">
        <v>44</v>
      </c>
      <c r="E46" s="1" t="s">
        <v>43</v>
      </c>
      <c r="H46" s="1" t="s">
        <v>45</v>
      </c>
      <c r="P46" s="17"/>
      <c r="Q46" s="17"/>
    </row>
    <row r="47" spans="1:27" x14ac:dyDescent="0.25">
      <c r="A47" s="4" t="s">
        <v>17</v>
      </c>
      <c r="B47" s="4" t="s">
        <v>26</v>
      </c>
      <c r="C47" s="5"/>
      <c r="D47" s="7"/>
      <c r="E47" s="98"/>
      <c r="F47" s="5"/>
      <c r="G47" s="7"/>
      <c r="H47" s="52"/>
      <c r="I47" s="58"/>
      <c r="J47" s="95"/>
      <c r="L47" s="3"/>
    </row>
    <row r="48" spans="1:27" x14ac:dyDescent="0.25">
      <c r="A48" s="45"/>
      <c r="B48" s="14" t="s">
        <v>46</v>
      </c>
      <c r="C48" s="9" t="s">
        <v>47</v>
      </c>
      <c r="D48" s="9" t="s">
        <v>48</v>
      </c>
      <c r="E48" s="99" t="s">
        <v>170</v>
      </c>
      <c r="F48" s="100" t="s">
        <v>171</v>
      </c>
      <c r="G48" s="101" t="s">
        <v>172</v>
      </c>
      <c r="H48" s="14" t="s">
        <v>46</v>
      </c>
      <c r="I48" s="9" t="s">
        <v>47</v>
      </c>
      <c r="J48" s="15" t="s">
        <v>48</v>
      </c>
    </row>
    <row r="49" spans="1:11" x14ac:dyDescent="0.25">
      <c r="A49" s="44"/>
      <c r="B49" s="41"/>
      <c r="C49" s="42"/>
      <c r="D49" s="42"/>
      <c r="E49" s="16"/>
      <c r="F49" s="17"/>
      <c r="G49" s="18"/>
      <c r="H49" s="41"/>
      <c r="I49" s="42"/>
      <c r="J49" s="43"/>
      <c r="K49" s="3"/>
    </row>
    <row r="50" spans="1:11" x14ac:dyDescent="0.25">
      <c r="A50" s="12" t="str">
        <f>A30</f>
        <v>cabin</v>
      </c>
      <c r="B50" s="21">
        <f t="shared" ref="B50:B60" si="18">O13*$N30</f>
        <v>1133.8377011949208</v>
      </c>
      <c r="C50" s="22">
        <f t="shared" ref="C50:C60" si="19">P13*$N30</f>
        <v>0</v>
      </c>
      <c r="D50" s="22">
        <f t="shared" ref="D50:D60" si="20">Q13*$N30</f>
        <v>1133.8377011949208</v>
      </c>
      <c r="E50" s="21">
        <f>$N30/slug*(($P13+$M13/2-$C$63)^2+($Q13+$N13/2-$D$63)^2)</f>
        <v>119.95274209337089</v>
      </c>
      <c r="F50" s="22">
        <f t="shared" ref="F50:F61" si="21">$N30/slug*(($O13+$L13/2-$B$63)^2+($Q13+$N13/2-$D$63)^2)</f>
        <v>596.05667720606812</v>
      </c>
      <c r="G50" s="23">
        <f t="shared" ref="G50:G61" si="22">$N30/slug*(($O13+$L13/2-$B$63)^2+($P13+$M13/2-$C$63)^2)</f>
        <v>566.29747023287484</v>
      </c>
      <c r="H50" s="21">
        <f t="shared" ref="H50:H60" si="23">E30*O13</f>
        <v>71.952030804518429</v>
      </c>
      <c r="I50" s="22">
        <f t="shared" ref="I50:I60" si="24">C30*P13</f>
        <v>0</v>
      </c>
      <c r="J50" s="23">
        <f t="shared" ref="J50:J60" si="25">G30*Q13</f>
        <v>68.525743623350891</v>
      </c>
      <c r="K50" s="3"/>
    </row>
    <row r="51" spans="1:11" x14ac:dyDescent="0.25">
      <c r="A51" s="12" t="str">
        <f t="shared" ref="A51:A61" si="26">A31</f>
        <v>nose</v>
      </c>
      <c r="B51" s="21">
        <f t="shared" si="18"/>
        <v>207.93655151738426</v>
      </c>
      <c r="C51" s="22">
        <f t="shared" si="19"/>
        <v>0</v>
      </c>
      <c r="D51" s="22">
        <f t="shared" si="20"/>
        <v>111.39458117002729</v>
      </c>
      <c r="E51" s="21">
        <f t="shared" ref="E51:E61" si="27">$N31/slug*(($P14+$M14/2-$C$63)^2+($Q14+$N14/2-$D$63)^2)</f>
        <v>6.1551192348837693</v>
      </c>
      <c r="F51" s="22">
        <f t="shared" si="21"/>
        <v>64.9100870132431</v>
      </c>
      <c r="G51" s="23">
        <f t="shared" si="22"/>
        <v>63.56599096676905</v>
      </c>
      <c r="H51" s="21">
        <f t="shared" si="23"/>
        <v>14.137942894922917</v>
      </c>
      <c r="I51" s="22">
        <f t="shared" si="24"/>
        <v>0</v>
      </c>
      <c r="J51" s="23">
        <f t="shared" si="25"/>
        <v>7.0689714474614584</v>
      </c>
    </row>
    <row r="52" spans="1:11" x14ac:dyDescent="0.25">
      <c r="A52" s="12" t="str">
        <f t="shared" si="26"/>
        <v>luggage</v>
      </c>
      <c r="B52" s="21">
        <f t="shared" si="18"/>
        <v>-78.171635908791075</v>
      </c>
      <c r="C52" s="22">
        <f t="shared" si="19"/>
        <v>0</v>
      </c>
      <c r="D52" s="22">
        <f t="shared" si="20"/>
        <v>234.51490772637325</v>
      </c>
      <c r="E52" s="21">
        <f t="shared" si="27"/>
        <v>12.958145757650039</v>
      </c>
      <c r="F52" s="22">
        <f t="shared" si="21"/>
        <v>10.271511136344657</v>
      </c>
      <c r="G52" s="23">
        <f t="shared" si="22"/>
        <v>7.441835249030877</v>
      </c>
      <c r="H52" s="21">
        <f t="shared" si="23"/>
        <v>-6.395736071512748</v>
      </c>
      <c r="I52" s="22">
        <f t="shared" si="24"/>
        <v>0</v>
      </c>
      <c r="J52" s="23">
        <f t="shared" si="25"/>
        <v>10.098530639230656</v>
      </c>
    </row>
    <row r="53" spans="1:11" x14ac:dyDescent="0.25">
      <c r="A53" s="12" t="str">
        <f t="shared" si="26"/>
        <v>engine</v>
      </c>
      <c r="B53" s="21">
        <f t="shared" si="18"/>
        <v>-1669.9523099636242</v>
      </c>
      <c r="C53" s="22">
        <f t="shared" si="19"/>
        <v>0</v>
      </c>
      <c r="D53" s="22">
        <f t="shared" si="20"/>
        <v>2504.9284649454366</v>
      </c>
      <c r="E53" s="21">
        <f t="shared" si="27"/>
        <v>121.83951524732184</v>
      </c>
      <c r="F53" s="22">
        <f t="shared" si="21"/>
        <v>119.63710188649416</v>
      </c>
      <c r="G53" s="23">
        <f t="shared" si="22"/>
        <v>52.994226659170323</v>
      </c>
      <c r="H53" s="21">
        <f t="shared" si="23"/>
        <v>-25.967650215164547</v>
      </c>
      <c r="I53" s="22">
        <f t="shared" si="24"/>
        <v>0</v>
      </c>
      <c r="J53" s="23">
        <f t="shared" si="25"/>
        <v>20.197061278461309</v>
      </c>
    </row>
    <row r="54" spans="1:11" x14ac:dyDescent="0.25">
      <c r="A54" s="12" t="str">
        <f t="shared" si="26"/>
        <v>horiz stabilizer</v>
      </c>
      <c r="B54" s="21">
        <f t="shared" si="18"/>
        <v>-36.723488297811194</v>
      </c>
      <c r="C54" s="22">
        <f t="shared" si="19"/>
        <v>1.93281517356901</v>
      </c>
      <c r="D54" s="22">
        <f t="shared" si="20"/>
        <v>-1.5462521388552082</v>
      </c>
      <c r="E54" s="21">
        <f t="shared" si="27"/>
        <v>1.1387032923490745</v>
      </c>
      <c r="F54" s="22">
        <f t="shared" si="21"/>
        <v>19.94970171643666</v>
      </c>
      <c r="G54" s="23">
        <f t="shared" si="22"/>
        <v>19.609560924376908</v>
      </c>
      <c r="H54" s="21">
        <f t="shared" si="23"/>
        <v>-3.197868035756374</v>
      </c>
      <c r="I54" s="22">
        <f t="shared" si="24"/>
        <v>0</v>
      </c>
      <c r="J54" s="23">
        <f t="shared" si="25"/>
        <v>-4.0394122556922625</v>
      </c>
    </row>
    <row r="55" spans="1:11" x14ac:dyDescent="0.25">
      <c r="A55" s="12" t="str">
        <f t="shared" si="26"/>
        <v>tail boom</v>
      </c>
      <c r="B55" s="21">
        <f t="shared" si="18"/>
        <v>-964.86133464565</v>
      </c>
      <c r="C55" s="22">
        <f t="shared" si="19"/>
        <v>0</v>
      </c>
      <c r="D55" s="22">
        <f t="shared" si="20"/>
        <v>0</v>
      </c>
      <c r="E55" s="21">
        <f t="shared" si="27"/>
        <v>13.015970094551209</v>
      </c>
      <c r="F55" s="22">
        <f t="shared" si="21"/>
        <v>51.835386312836242</v>
      </c>
      <c r="G55" s="23">
        <f t="shared" si="22"/>
        <v>40.869577133313527</v>
      </c>
      <c r="H55" s="21">
        <f t="shared" si="23"/>
        <v>-210.04943729599765</v>
      </c>
      <c r="I55" s="22">
        <f t="shared" si="24"/>
        <v>0</v>
      </c>
      <c r="J55" s="23">
        <f t="shared" si="25"/>
        <v>0</v>
      </c>
    </row>
    <row r="56" spans="1:11" x14ac:dyDescent="0.25">
      <c r="A56" s="12" t="str">
        <f t="shared" si="26"/>
        <v>vert stabilizer</v>
      </c>
      <c r="B56" s="21">
        <f t="shared" si="18"/>
        <v>-66.102278936060131</v>
      </c>
      <c r="C56" s="22">
        <f t="shared" si="19"/>
        <v>0</v>
      </c>
      <c r="D56" s="22">
        <f t="shared" si="20"/>
        <v>-6.9581346248484355</v>
      </c>
      <c r="E56" s="21">
        <f t="shared" si="27"/>
        <v>1.7963716697495553</v>
      </c>
      <c r="F56" s="22">
        <f t="shared" si="21"/>
        <v>28.858309008699113</v>
      </c>
      <c r="G56" s="23">
        <f t="shared" si="22"/>
        <v>27.062512303949767</v>
      </c>
      <c r="H56" s="21">
        <f t="shared" si="23"/>
        <v>-172.68487393084419</v>
      </c>
      <c r="I56" s="22">
        <f t="shared" si="24"/>
        <v>0</v>
      </c>
      <c r="J56" s="23">
        <f t="shared" si="25"/>
        <v>-1.2983825107582272</v>
      </c>
    </row>
    <row r="57" spans="1:11" x14ac:dyDescent="0.25">
      <c r="A57" s="12" t="str">
        <f t="shared" si="26"/>
        <v>tail rotor</v>
      </c>
      <c r="B57" s="21">
        <f t="shared" si="18"/>
        <v>-21.451180466023047</v>
      </c>
      <c r="C57" s="22">
        <f t="shared" si="19"/>
        <v>0</v>
      </c>
      <c r="D57" s="22">
        <f t="shared" si="20"/>
        <v>-2.2580189964234787</v>
      </c>
      <c r="E57" s="21">
        <f t="shared" si="27"/>
        <v>0.67470664056635954</v>
      </c>
      <c r="F57" s="22">
        <f>$N37/slug*(($O20+$L20/2-$B$63)^2+($Q20+$N20/2-$D$63)^2)</f>
        <v>9.92074672483872</v>
      </c>
      <c r="G57" s="23">
        <f t="shared" si="22"/>
        <v>9.2460475476628403</v>
      </c>
      <c r="H57" s="21">
        <f t="shared" si="23"/>
        <v>-84.058245511310403</v>
      </c>
      <c r="I57" s="22">
        <f t="shared" si="24"/>
        <v>0</v>
      </c>
      <c r="J57" s="23">
        <f t="shared" si="25"/>
        <v>0</v>
      </c>
    </row>
    <row r="58" spans="1:11" x14ac:dyDescent="0.25">
      <c r="A58" s="12" t="str">
        <f t="shared" si="26"/>
        <v>skid1</v>
      </c>
      <c r="B58" s="21">
        <f t="shared" si="18"/>
        <v>0</v>
      </c>
      <c r="C58" s="22">
        <f t="shared" si="19"/>
        <v>110.81473661795658</v>
      </c>
      <c r="D58" s="22">
        <f t="shared" si="20"/>
        <v>199.46652591232183</v>
      </c>
      <c r="E58" s="21">
        <f t="shared" si="27"/>
        <v>23.112047600106695</v>
      </c>
      <c r="F58" s="22">
        <f t="shared" si="21"/>
        <v>44.380252130146317</v>
      </c>
      <c r="G58" s="23">
        <f t="shared" si="22"/>
        <v>46.272509605765471</v>
      </c>
      <c r="H58" s="21">
        <f t="shared" si="23"/>
        <v>0</v>
      </c>
      <c r="I58" s="22">
        <f t="shared" si="24"/>
        <v>0.57705889367032315</v>
      </c>
      <c r="J58" s="23">
        <f t="shared" si="25"/>
        <v>22.332179185041507</v>
      </c>
    </row>
    <row r="59" spans="1:11" x14ac:dyDescent="0.25">
      <c r="A59" s="12" t="str">
        <f t="shared" si="26"/>
        <v>skid2</v>
      </c>
      <c r="B59" s="21">
        <f t="shared" si="18"/>
        <v>0</v>
      </c>
      <c r="C59" s="22">
        <f t="shared" si="19"/>
        <v>-110.81473661795658</v>
      </c>
      <c r="D59" s="22">
        <f t="shared" si="20"/>
        <v>199.46652591232183</v>
      </c>
      <c r="E59" s="21">
        <f t="shared" si="27"/>
        <v>20.181855599045075</v>
      </c>
      <c r="F59" s="22">
        <f t="shared" si="21"/>
        <v>44.380252130146317</v>
      </c>
      <c r="G59" s="23">
        <f t="shared" si="22"/>
        <v>43.342317604703851</v>
      </c>
      <c r="H59" s="21">
        <f t="shared" si="23"/>
        <v>0</v>
      </c>
      <c r="I59" s="22">
        <f t="shared" si="24"/>
        <v>-0.57705889367032315</v>
      </c>
      <c r="J59" s="23">
        <f t="shared" si="25"/>
        <v>22.332179185041507</v>
      </c>
    </row>
    <row r="60" spans="1:11" x14ac:dyDescent="0.25">
      <c r="A60" s="12" t="str">
        <f t="shared" si="26"/>
        <v>main rotor</v>
      </c>
      <c r="B60" s="21">
        <f t="shared" si="18"/>
        <v>-33.379411251477507</v>
      </c>
      <c r="C60" s="22">
        <f t="shared" si="19"/>
        <v>0</v>
      </c>
      <c r="D60" s="22">
        <f t="shared" si="20"/>
        <v>-120.16588050531904</v>
      </c>
      <c r="E60" s="21">
        <f t="shared" si="27"/>
        <v>23.038321278753095</v>
      </c>
      <c r="F60" s="22">
        <f t="shared" si="21"/>
        <v>23.497827780443703</v>
      </c>
      <c r="G60" s="23">
        <f t="shared" si="22"/>
        <v>0.81255732086613863</v>
      </c>
      <c r="H60" s="21">
        <f t="shared" si="23"/>
        <v>-6.2130007551838133</v>
      </c>
      <c r="I60" s="22">
        <f t="shared" si="24"/>
        <v>0</v>
      </c>
      <c r="J60" s="23">
        <f t="shared" si="25"/>
        <v>0</v>
      </c>
    </row>
    <row r="61" spans="1:11" x14ac:dyDescent="0.25">
      <c r="A61" s="12" t="str">
        <f t="shared" si="26"/>
        <v>blades</v>
      </c>
      <c r="B61" s="21"/>
      <c r="C61" s="22"/>
      <c r="D61" s="22"/>
      <c r="E61" s="21">
        <f t="shared" si="27"/>
        <v>93.899893501622827</v>
      </c>
      <c r="F61" s="22">
        <f t="shared" si="21"/>
        <v>240.38025895861352</v>
      </c>
      <c r="G61" s="23">
        <f t="shared" si="22"/>
        <v>146.8623534635291</v>
      </c>
      <c r="H61" s="21"/>
      <c r="I61" s="22"/>
      <c r="J61" s="23"/>
    </row>
    <row r="62" spans="1:11" x14ac:dyDescent="0.25">
      <c r="A62" s="13"/>
      <c r="B62" s="61">
        <f>INT(SUM(B50:B61)/$N$42*100)/100</f>
        <v>-1.02</v>
      </c>
      <c r="C62" s="61">
        <f>INT(SUM(C50:C61)/$N$42*100)/100</f>
        <v>0</v>
      </c>
      <c r="D62" s="61">
        <f>INT(SUM(D50:D61)/$N$42*100)/100</f>
        <v>2.82</v>
      </c>
      <c r="E62" s="102"/>
      <c r="F62" s="103"/>
      <c r="G62" s="104"/>
      <c r="H62" s="80">
        <f>SUM(H50:H61)</f>
        <v>-422.47683811632839</v>
      </c>
      <c r="I62" s="59">
        <f>SUM(I50:I61)</f>
        <v>0</v>
      </c>
      <c r="J62" s="96">
        <f>SUM(J50:J61)</f>
        <v>145.21687059213684</v>
      </c>
    </row>
    <row r="63" spans="1:11" x14ac:dyDescent="0.25">
      <c r="B63" s="54">
        <f>B62</f>
        <v>-1.02</v>
      </c>
      <c r="C63" s="54">
        <f>C62</f>
        <v>0</v>
      </c>
      <c r="D63" s="54">
        <f>D62</f>
        <v>2.82</v>
      </c>
      <c r="E63" s="105">
        <f>SUM(E50:E61)</f>
        <v>437.7633920099704</v>
      </c>
      <c r="F63" s="105">
        <f>SUM(F50:F61)</f>
        <v>1254.0781120043107</v>
      </c>
      <c r="G63" s="105">
        <f>SUM(G50:G61)</f>
        <v>1024.3769590120125</v>
      </c>
      <c r="H63" s="97">
        <f>H62/E42</f>
        <v>-4.8403591549413907</v>
      </c>
      <c r="I63" s="79">
        <f>I62/C42</f>
        <v>0</v>
      </c>
      <c r="J63" s="79">
        <f>J62/G42</f>
        <v>2.2700470715686203</v>
      </c>
    </row>
    <row r="64" spans="1:11" x14ac:dyDescent="0.25">
      <c r="A64" s="1"/>
    </row>
    <row r="65" spans="1:9" x14ac:dyDescent="0.25">
      <c r="D65" s="106" t="s">
        <v>173</v>
      </c>
      <c r="E65" s="107">
        <f>L12</f>
        <v>29.56</v>
      </c>
      <c r="F65" s="107">
        <f>L24*2</f>
        <v>33.175251798561149</v>
      </c>
      <c r="G65" s="108">
        <f>(F65+E65)/2</f>
        <v>31.367625899280576</v>
      </c>
    </row>
    <row r="66" spans="1:9" x14ac:dyDescent="0.25">
      <c r="D66" s="109" t="s">
        <v>174</v>
      </c>
      <c r="E66" s="110">
        <v>1870</v>
      </c>
      <c r="F66" s="110">
        <v>810</v>
      </c>
      <c r="G66" s="111">
        <v>770</v>
      </c>
    </row>
    <row r="67" spans="1:9" x14ac:dyDescent="0.25">
      <c r="D67" s="112" t="s">
        <v>175</v>
      </c>
      <c r="E67" s="113">
        <f>$N$43*E65^2/E66</f>
        <v>703.70757304812832</v>
      </c>
      <c r="F67" s="113">
        <f>$N$43*F65^2/F66</f>
        <v>2046.2957800472714</v>
      </c>
      <c r="G67" s="114">
        <f>$N$43*G65^2/G66</f>
        <v>1924.409739692428</v>
      </c>
    </row>
    <row r="68" spans="1:9" x14ac:dyDescent="0.25">
      <c r="C68" s="134"/>
      <c r="D68" s="82" t="s">
        <v>176</v>
      </c>
      <c r="E68" s="82"/>
      <c r="F68" s="82"/>
      <c r="G68" s="82"/>
    </row>
    <row r="69" spans="1:9" x14ac:dyDescent="0.25">
      <c r="D69" s="82"/>
      <c r="E69" s="82"/>
      <c r="F69" s="82"/>
      <c r="G69" s="82"/>
    </row>
    <row r="70" spans="1:9" x14ac:dyDescent="0.25">
      <c r="A70" s="1" t="s">
        <v>196</v>
      </c>
    </row>
    <row r="71" spans="1:9" x14ac:dyDescent="0.25">
      <c r="A71" t="s">
        <v>134</v>
      </c>
    </row>
    <row r="73" spans="1:9" x14ac:dyDescent="0.25">
      <c r="A73" s="117" t="s">
        <v>49</v>
      </c>
      <c r="B73" s="118"/>
    </row>
    <row r="74" spans="1:9" x14ac:dyDescent="0.25">
      <c r="A74" s="118" t="s">
        <v>59</v>
      </c>
      <c r="B74" s="119" t="s">
        <v>204</v>
      </c>
    </row>
    <row r="75" spans="1:9" x14ac:dyDescent="0.25">
      <c r="A75" s="118" t="s">
        <v>58</v>
      </c>
      <c r="B75" s="120" t="s">
        <v>181</v>
      </c>
    </row>
    <row r="76" spans="1:9" x14ac:dyDescent="0.25">
      <c r="A76" s="118" t="s">
        <v>60</v>
      </c>
      <c r="B76" s="119" t="s">
        <v>205</v>
      </c>
    </row>
    <row r="77" spans="1:9" x14ac:dyDescent="0.25">
      <c r="A77" s="118" t="s">
        <v>61</v>
      </c>
      <c r="B77" s="119" t="s">
        <v>209</v>
      </c>
    </row>
    <row r="78" spans="1:9" x14ac:dyDescent="0.25">
      <c r="A78" s="118"/>
      <c r="B78" s="118"/>
    </row>
    <row r="79" spans="1:9" x14ac:dyDescent="0.25">
      <c r="A79" s="117" t="s">
        <v>50</v>
      </c>
      <c r="B79" s="118"/>
    </row>
    <row r="80" spans="1:9" x14ac:dyDescent="0.25">
      <c r="A80" s="118" t="s">
        <v>163</v>
      </c>
      <c r="B80" s="119">
        <v>1</v>
      </c>
      <c r="C80" s="133" t="s">
        <v>194</v>
      </c>
      <c r="D80" t="s">
        <v>166</v>
      </c>
      <c r="I80" t="str">
        <f>"\\"&amp;D80</f>
        <v xml:space="preserve">\\1=standard, 2=european </v>
      </c>
    </row>
    <row r="81" spans="1:4" x14ac:dyDescent="0.25">
      <c r="A81" s="118" t="s">
        <v>161</v>
      </c>
      <c r="B81" s="119">
        <v>0</v>
      </c>
      <c r="C81" s="133" t="s">
        <v>194</v>
      </c>
      <c r="D81" t="s">
        <v>154</v>
      </c>
    </row>
    <row r="82" spans="1:4" x14ac:dyDescent="0.25">
      <c r="A82" s="118" t="s">
        <v>62</v>
      </c>
      <c r="B82" s="121">
        <f>L12</f>
        <v>29.56</v>
      </c>
    </row>
    <row r="83" spans="1:4" x14ac:dyDescent="0.25">
      <c r="A83" s="118" t="s">
        <v>63</v>
      </c>
      <c r="B83" s="119">
        <v>130</v>
      </c>
      <c r="C83" s="133" t="s">
        <v>194</v>
      </c>
      <c r="D83" s="82" t="s">
        <v>193</v>
      </c>
    </row>
    <row r="84" spans="1:4" x14ac:dyDescent="0.25">
      <c r="A84" s="118" t="s">
        <v>64</v>
      </c>
      <c r="B84" s="122">
        <f>N43</f>
        <v>1506</v>
      </c>
    </row>
    <row r="85" spans="1:4" x14ac:dyDescent="0.25">
      <c r="A85" s="118" t="s">
        <v>169</v>
      </c>
      <c r="B85" s="123">
        <f>B84</f>
        <v>1506</v>
      </c>
    </row>
    <row r="86" spans="1:4" x14ac:dyDescent="0.25">
      <c r="A86" s="118" t="s">
        <v>65</v>
      </c>
      <c r="B86" s="119">
        <v>2500</v>
      </c>
    </row>
    <row r="87" spans="1:4" x14ac:dyDescent="0.25">
      <c r="A87" s="118" t="s">
        <v>147</v>
      </c>
      <c r="B87" s="119">
        <v>5</v>
      </c>
      <c r="C87" s="133" t="s">
        <v>194</v>
      </c>
      <c r="D87" t="s">
        <v>168</v>
      </c>
    </row>
    <row r="88" spans="1:4" x14ac:dyDescent="0.25">
      <c r="A88" s="118" t="s">
        <v>148</v>
      </c>
      <c r="B88" s="119">
        <v>0.48</v>
      </c>
      <c r="C88" s="133" t="s">
        <v>194</v>
      </c>
      <c r="D88" t="s">
        <v>149</v>
      </c>
    </row>
    <row r="89" spans="1:4" x14ac:dyDescent="0.25">
      <c r="A89" s="118"/>
      <c r="B89" s="118"/>
    </row>
    <row r="90" spans="1:4" x14ac:dyDescent="0.25">
      <c r="A90" s="118" t="s">
        <v>66</v>
      </c>
      <c r="B90" s="121">
        <f>C42</f>
        <v>20.579668634128662</v>
      </c>
    </row>
    <row r="91" spans="1:4" x14ac:dyDescent="0.25">
      <c r="A91" s="118" t="s">
        <v>67</v>
      </c>
      <c r="B91" s="121">
        <f>E42</f>
        <v>87.282126096992883</v>
      </c>
    </row>
    <row r="92" spans="1:4" x14ac:dyDescent="0.25">
      <c r="A92" s="118" t="s">
        <v>68</v>
      </c>
      <c r="B92" s="121">
        <f>G42</f>
        <v>63.970863164432473</v>
      </c>
    </row>
    <row r="93" spans="1:4" x14ac:dyDescent="0.25">
      <c r="A93" s="118" t="s">
        <v>152</v>
      </c>
      <c r="B93" s="121">
        <v>0</v>
      </c>
      <c r="C93" s="133" t="s">
        <v>194</v>
      </c>
      <c r="D93" t="s">
        <v>153</v>
      </c>
    </row>
    <row r="94" spans="1:4" x14ac:dyDescent="0.25">
      <c r="A94" s="118"/>
      <c r="B94" s="118"/>
    </row>
    <row r="95" spans="1:4" x14ac:dyDescent="0.25">
      <c r="A95" s="118" t="s">
        <v>69</v>
      </c>
      <c r="B95" s="124">
        <v>0.27</v>
      </c>
    </row>
    <row r="96" spans="1:4" x14ac:dyDescent="0.25">
      <c r="A96" s="118" t="s">
        <v>70</v>
      </c>
      <c r="B96" s="124">
        <v>0.6</v>
      </c>
    </row>
    <row r="97" spans="1:9" x14ac:dyDescent="0.25">
      <c r="A97" s="118" t="s">
        <v>71</v>
      </c>
      <c r="B97" s="124">
        <v>0.6</v>
      </c>
    </row>
    <row r="98" spans="1:9" x14ac:dyDescent="0.25">
      <c r="A98" s="118"/>
      <c r="B98" s="118"/>
    </row>
    <row r="99" spans="1:9" x14ac:dyDescent="0.25">
      <c r="A99" s="118"/>
      <c r="B99" s="118"/>
    </row>
    <row r="100" spans="1:9" s="55" customFormat="1" x14ac:dyDescent="0.25">
      <c r="A100" s="118" t="s">
        <v>72</v>
      </c>
      <c r="B100" s="119">
        <v>0</v>
      </c>
      <c r="C100" s="133" t="s">
        <v>194</v>
      </c>
      <c r="D100" t="s">
        <v>115</v>
      </c>
      <c r="E100"/>
      <c r="F100"/>
      <c r="G100"/>
      <c r="H100"/>
      <c r="I100"/>
    </row>
    <row r="101" spans="1:9" x14ac:dyDescent="0.25">
      <c r="A101" s="118" t="s">
        <v>73</v>
      </c>
      <c r="B101" s="125">
        <v>0.6</v>
      </c>
      <c r="C101" s="133" t="s">
        <v>194</v>
      </c>
      <c r="D101" t="s">
        <v>116</v>
      </c>
    </row>
    <row r="102" spans="1:9" x14ac:dyDescent="0.25">
      <c r="A102" s="118" t="s">
        <v>189</v>
      </c>
      <c r="B102" s="125">
        <v>0.02</v>
      </c>
      <c r="C102" s="133" t="s">
        <v>194</v>
      </c>
      <c r="D102" t="s">
        <v>188</v>
      </c>
    </row>
    <row r="103" spans="1:9" x14ac:dyDescent="0.25">
      <c r="A103" s="118" t="s">
        <v>74</v>
      </c>
      <c r="B103" s="125">
        <v>0.2</v>
      </c>
      <c r="C103" s="133" t="s">
        <v>194</v>
      </c>
      <c r="D103" t="s">
        <v>117</v>
      </c>
    </row>
    <row r="104" spans="1:9" x14ac:dyDescent="0.25">
      <c r="A104" s="118" t="s">
        <v>185</v>
      </c>
      <c r="B104" s="126">
        <v>3</v>
      </c>
      <c r="C104" s="133" t="s">
        <v>194</v>
      </c>
      <c r="D104" t="s">
        <v>150</v>
      </c>
    </row>
    <row r="105" spans="1:9" x14ac:dyDescent="0.25">
      <c r="A105" s="118" t="s">
        <v>186</v>
      </c>
      <c r="B105" s="126">
        <v>10</v>
      </c>
      <c r="C105" s="133" t="s">
        <v>194</v>
      </c>
      <c r="D105" t="s">
        <v>187</v>
      </c>
    </row>
    <row r="106" spans="1:9" x14ac:dyDescent="0.25">
      <c r="A106" s="118"/>
      <c r="B106" s="126"/>
    </row>
    <row r="107" spans="1:9" x14ac:dyDescent="0.25">
      <c r="A107" s="118" t="s">
        <v>75</v>
      </c>
      <c r="B107" s="121">
        <f>B63</f>
        <v>-1.02</v>
      </c>
    </row>
    <row r="108" spans="1:9" x14ac:dyDescent="0.25">
      <c r="A108" s="118" t="s">
        <v>76</v>
      </c>
      <c r="B108" s="121">
        <f>C63</f>
        <v>0</v>
      </c>
    </row>
    <row r="109" spans="1:9" x14ac:dyDescent="0.25">
      <c r="A109" s="118" t="s">
        <v>77</v>
      </c>
      <c r="B109" s="121">
        <f>D63</f>
        <v>2.82</v>
      </c>
    </row>
    <row r="110" spans="1:9" x14ac:dyDescent="0.25">
      <c r="A110" s="118"/>
      <c r="B110" s="118"/>
    </row>
    <row r="111" spans="1:9" x14ac:dyDescent="0.25">
      <c r="A111" s="118" t="s">
        <v>78</v>
      </c>
      <c r="B111" s="121">
        <f>H63</f>
        <v>-4.8403591549413907</v>
      </c>
    </row>
    <row r="112" spans="1:9" x14ac:dyDescent="0.25">
      <c r="A112" s="118" t="s">
        <v>79</v>
      </c>
      <c r="B112" s="121">
        <f>I63</f>
        <v>0</v>
      </c>
    </row>
    <row r="113" spans="1:9" x14ac:dyDescent="0.25">
      <c r="A113" s="118" t="s">
        <v>80</v>
      </c>
      <c r="B113" s="121">
        <f>J63</f>
        <v>2.2700470715686203</v>
      </c>
    </row>
    <row r="114" spans="1:9" x14ac:dyDescent="0.25">
      <c r="A114" s="118"/>
      <c r="B114" s="118"/>
    </row>
    <row r="115" spans="1:9" x14ac:dyDescent="0.25">
      <c r="A115" s="118" t="s">
        <v>81</v>
      </c>
      <c r="B115" s="127">
        <f>F63</f>
        <v>1254.0781120043107</v>
      </c>
      <c r="D115" t="s">
        <v>210</v>
      </c>
    </row>
    <row r="116" spans="1:9" x14ac:dyDescent="0.25">
      <c r="A116" s="118" t="s">
        <v>82</v>
      </c>
      <c r="B116" s="127">
        <f>F63</f>
        <v>1254.0781120043107</v>
      </c>
      <c r="D116" s="55" t="s">
        <v>211</v>
      </c>
      <c r="E116" s="55"/>
      <c r="F116" s="55"/>
      <c r="G116" s="55"/>
      <c r="H116" s="55"/>
      <c r="I116" s="55"/>
    </row>
    <row r="117" spans="1:9" x14ac:dyDescent="0.25">
      <c r="A117" s="118" t="s">
        <v>83</v>
      </c>
      <c r="B117" s="127">
        <f>G63</f>
        <v>1024.3769590120125</v>
      </c>
      <c r="D117" s="55" t="s">
        <v>135</v>
      </c>
    </row>
    <row r="118" spans="1:9" x14ac:dyDescent="0.25">
      <c r="A118" s="118"/>
      <c r="B118" s="118"/>
    </row>
    <row r="119" spans="1:9" x14ac:dyDescent="0.25">
      <c r="A119" s="118" t="s">
        <v>177</v>
      </c>
      <c r="B119" s="124">
        <v>20</v>
      </c>
    </row>
    <row r="120" spans="1:9" x14ac:dyDescent="0.25">
      <c r="A120" s="118" t="s">
        <v>178</v>
      </c>
      <c r="B120" s="124">
        <v>10</v>
      </c>
    </row>
    <row r="121" spans="1:9" x14ac:dyDescent="0.25">
      <c r="A121" s="118"/>
      <c r="B121" s="119"/>
    </row>
    <row r="122" spans="1:9" x14ac:dyDescent="0.25">
      <c r="A122" s="118" t="s">
        <v>84</v>
      </c>
      <c r="B122" s="119">
        <v>2</v>
      </c>
    </row>
    <row r="123" spans="1:9" x14ac:dyDescent="0.25">
      <c r="A123" s="118" t="s">
        <v>85</v>
      </c>
      <c r="B123" s="119">
        <v>1</v>
      </c>
    </row>
    <row r="124" spans="1:9" x14ac:dyDescent="0.25">
      <c r="A124" s="118" t="s">
        <v>86</v>
      </c>
      <c r="B124" s="119">
        <v>2</v>
      </c>
    </row>
    <row r="125" spans="1:9" x14ac:dyDescent="0.25">
      <c r="A125" s="118"/>
      <c r="B125" s="119"/>
    </row>
    <row r="126" spans="1:9" x14ac:dyDescent="0.25">
      <c r="A126" s="118" t="s">
        <v>87</v>
      </c>
      <c r="B126" s="119">
        <v>0</v>
      </c>
      <c r="C126" s="133" t="s">
        <v>194</v>
      </c>
      <c r="D126" t="s">
        <v>118</v>
      </c>
    </row>
    <row r="127" spans="1:9" x14ac:dyDescent="0.25">
      <c r="A127" s="118" t="s">
        <v>145</v>
      </c>
      <c r="B127" s="119">
        <v>1</v>
      </c>
      <c r="C127" s="133" t="s">
        <v>194</v>
      </c>
      <c r="D127" t="s">
        <v>136</v>
      </c>
    </row>
    <row r="128" spans="1:9" x14ac:dyDescent="0.25">
      <c r="A128" s="118" t="s">
        <v>162</v>
      </c>
      <c r="B128" s="124">
        <v>14</v>
      </c>
    </row>
    <row r="129" spans="1:4" x14ac:dyDescent="0.25">
      <c r="A129" s="118" t="s">
        <v>190</v>
      </c>
      <c r="B129" s="119">
        <v>10.7</v>
      </c>
      <c r="C129" s="133" t="s">
        <v>194</v>
      </c>
      <c r="D129" t="s">
        <v>191</v>
      </c>
    </row>
    <row r="130" spans="1:4" ht="14.4" x14ac:dyDescent="0.3">
      <c r="A130" s="128" t="s">
        <v>198</v>
      </c>
      <c r="B130" s="119">
        <v>0.8</v>
      </c>
      <c r="C130" s="133" t="s">
        <v>194</v>
      </c>
      <c r="D130" s="116" t="s">
        <v>192</v>
      </c>
    </row>
    <row r="131" spans="1:4" ht="14.4" x14ac:dyDescent="0.3">
      <c r="A131" s="128" t="s">
        <v>199</v>
      </c>
      <c r="B131" s="119">
        <v>1.1000000000000001</v>
      </c>
      <c r="C131" s="133"/>
      <c r="D131" s="116"/>
    </row>
    <row r="132" spans="1:4" ht="14.4" x14ac:dyDescent="0.3">
      <c r="A132" s="128" t="s">
        <v>200</v>
      </c>
      <c r="B132" s="119">
        <v>0.9</v>
      </c>
      <c r="C132" s="133"/>
      <c r="D132" s="116"/>
    </row>
    <row r="133" spans="1:4" ht="14.4" x14ac:dyDescent="0.3">
      <c r="A133" s="128" t="s">
        <v>202</v>
      </c>
      <c r="B133" s="119">
        <v>0.8</v>
      </c>
      <c r="C133" s="133"/>
      <c r="D133" s="116"/>
    </row>
    <row r="134" spans="1:4" ht="14.4" x14ac:dyDescent="0.3">
      <c r="A134" s="128"/>
      <c r="B134" s="119"/>
      <c r="C134" s="133"/>
      <c r="D134" s="116"/>
    </row>
    <row r="135" spans="1:4" ht="14.4" x14ac:dyDescent="0.3">
      <c r="A135" s="128"/>
      <c r="B135" s="119"/>
      <c r="C135" s="133"/>
      <c r="D135" s="116"/>
    </row>
    <row r="136" spans="1:4" x14ac:dyDescent="0.25">
      <c r="A136" s="117" t="s">
        <v>51</v>
      </c>
      <c r="B136" s="118"/>
    </row>
    <row r="137" spans="1:4" x14ac:dyDescent="0.25">
      <c r="A137" s="118" t="s">
        <v>88</v>
      </c>
      <c r="B137" s="119">
        <v>0</v>
      </c>
      <c r="C137" s="133" t="s">
        <v>194</v>
      </c>
      <c r="D137" t="s">
        <v>119</v>
      </c>
    </row>
    <row r="138" spans="1:4" x14ac:dyDescent="0.25">
      <c r="A138" s="118" t="s">
        <v>89</v>
      </c>
      <c r="B138" s="119">
        <v>0</v>
      </c>
      <c r="C138" s="133" t="s">
        <v>194</v>
      </c>
      <c r="D138" t="s">
        <v>120</v>
      </c>
    </row>
    <row r="139" spans="1:4" x14ac:dyDescent="0.25">
      <c r="A139" s="118" t="s">
        <v>179</v>
      </c>
      <c r="B139" s="125">
        <v>0</v>
      </c>
    </row>
    <row r="140" spans="1:4" x14ac:dyDescent="0.25">
      <c r="A140" s="118" t="s">
        <v>90</v>
      </c>
      <c r="B140" s="127">
        <f>O23</f>
        <v>-1.0633093525179855</v>
      </c>
    </row>
    <row r="141" spans="1:4" x14ac:dyDescent="0.25">
      <c r="A141" s="118" t="s">
        <v>91</v>
      </c>
      <c r="B141" s="127">
        <f>P23</f>
        <v>0</v>
      </c>
    </row>
    <row r="142" spans="1:4" x14ac:dyDescent="0.25">
      <c r="A142" s="118" t="s">
        <v>92</v>
      </c>
      <c r="B142" s="121">
        <f>Q23</f>
        <v>-3.8279136690647482</v>
      </c>
    </row>
    <row r="143" spans="1:4" x14ac:dyDescent="0.25">
      <c r="A143" s="118"/>
      <c r="B143" s="118"/>
    </row>
    <row r="144" spans="1:4" x14ac:dyDescent="0.25">
      <c r="A144" s="118" t="s">
        <v>93</v>
      </c>
      <c r="B144" s="119">
        <v>0</v>
      </c>
      <c r="C144" s="133" t="s">
        <v>194</v>
      </c>
      <c r="D144" t="s">
        <v>121</v>
      </c>
    </row>
    <row r="145" spans="1:4" x14ac:dyDescent="0.25">
      <c r="A145" s="118" t="s">
        <v>94</v>
      </c>
      <c r="B145" s="119">
        <v>0</v>
      </c>
      <c r="C145" s="133" t="s">
        <v>194</v>
      </c>
      <c r="D145" t="s">
        <v>122</v>
      </c>
    </row>
    <row r="146" spans="1:4" x14ac:dyDescent="0.25">
      <c r="A146" s="118"/>
      <c r="B146" s="118"/>
    </row>
    <row r="147" spans="1:4" x14ac:dyDescent="0.25">
      <c r="A147" s="118" t="s">
        <v>95</v>
      </c>
      <c r="B147" s="121">
        <f>L24</f>
        <v>16.587625899280575</v>
      </c>
      <c r="C147" s="133" t="s">
        <v>194</v>
      </c>
      <c r="D147" t="s">
        <v>157</v>
      </c>
    </row>
    <row r="148" spans="1:4" x14ac:dyDescent="0.25">
      <c r="A148" s="118" t="s">
        <v>159</v>
      </c>
      <c r="B148" s="125">
        <v>0</v>
      </c>
      <c r="C148" s="133" t="s">
        <v>194</v>
      </c>
      <c r="D148" t="s">
        <v>125</v>
      </c>
    </row>
    <row r="149" spans="1:4" x14ac:dyDescent="0.25">
      <c r="A149" s="118" t="s">
        <v>160</v>
      </c>
      <c r="B149" s="124">
        <v>12</v>
      </c>
      <c r="C149" s="133" t="s">
        <v>194</v>
      </c>
      <c r="D149" t="s">
        <v>123</v>
      </c>
    </row>
    <row r="150" spans="1:4" x14ac:dyDescent="0.25">
      <c r="A150" s="118" t="s">
        <v>96</v>
      </c>
      <c r="B150" s="125">
        <v>10</v>
      </c>
      <c r="C150" s="133" t="s">
        <v>194</v>
      </c>
      <c r="D150" t="s">
        <v>124</v>
      </c>
    </row>
    <row r="151" spans="1:4" x14ac:dyDescent="0.25">
      <c r="A151" s="118"/>
      <c r="B151" s="118"/>
    </row>
    <row r="152" spans="1:4" x14ac:dyDescent="0.25">
      <c r="A152" s="118" t="s">
        <v>97</v>
      </c>
      <c r="B152" s="119">
        <v>400</v>
      </c>
      <c r="D152" t="s">
        <v>206</v>
      </c>
    </row>
    <row r="153" spans="1:4" x14ac:dyDescent="0.25">
      <c r="A153" s="118" t="s">
        <v>98</v>
      </c>
      <c r="B153" s="119">
        <v>2</v>
      </c>
    </row>
    <row r="154" spans="1:4" x14ac:dyDescent="0.25">
      <c r="A154" s="118" t="s">
        <v>99</v>
      </c>
      <c r="B154" s="125">
        <v>12</v>
      </c>
      <c r="C154" s="133" t="s">
        <v>194</v>
      </c>
      <c r="D154" t="s">
        <v>126</v>
      </c>
    </row>
    <row r="155" spans="1:4" x14ac:dyDescent="0.25">
      <c r="A155" s="118" t="s">
        <v>100</v>
      </c>
      <c r="B155" s="122">
        <f>N41/B153</f>
        <v>34.65815715383961</v>
      </c>
    </row>
    <row r="156" spans="1:4" x14ac:dyDescent="0.25">
      <c r="A156" s="118" t="s">
        <v>101</v>
      </c>
      <c r="B156" s="121">
        <f>M24</f>
        <v>0.59545323741007183</v>
      </c>
    </row>
    <row r="157" spans="1:4" x14ac:dyDescent="0.25">
      <c r="A157" s="118" t="s">
        <v>102</v>
      </c>
      <c r="B157" s="121">
        <f>L24</f>
        <v>16.587625899280575</v>
      </c>
    </row>
    <row r="158" spans="1:4" x14ac:dyDescent="0.25">
      <c r="A158" s="118" t="s">
        <v>103</v>
      </c>
      <c r="B158" s="127">
        <f>B157^2*B155/slug/3</f>
        <v>98.810162915799367</v>
      </c>
      <c r="C158" s="81"/>
    </row>
    <row r="159" spans="1:4" x14ac:dyDescent="0.25">
      <c r="A159" s="118" t="s">
        <v>104</v>
      </c>
      <c r="B159" s="124">
        <v>0.12</v>
      </c>
    </row>
    <row r="160" spans="1:4" x14ac:dyDescent="0.25">
      <c r="A160" s="118" t="s">
        <v>105</v>
      </c>
      <c r="B160" s="125">
        <v>6.4000000000000003E-3</v>
      </c>
    </row>
    <row r="161" spans="1:2" x14ac:dyDescent="0.25">
      <c r="A161" s="118" t="s">
        <v>106</v>
      </c>
      <c r="B161" s="125">
        <v>2.0000000000000001E-4</v>
      </c>
    </row>
    <row r="162" spans="1:2" x14ac:dyDescent="0.25">
      <c r="A162" s="118" t="s">
        <v>137</v>
      </c>
      <c r="B162" s="125">
        <v>0.4</v>
      </c>
    </row>
    <row r="163" spans="1:2" x14ac:dyDescent="0.25">
      <c r="A163" s="118"/>
      <c r="B163" s="125"/>
    </row>
    <row r="164" spans="1:2" x14ac:dyDescent="0.25">
      <c r="A164" s="118" t="s">
        <v>184</v>
      </c>
      <c r="B164" s="124">
        <v>4</v>
      </c>
    </row>
    <row r="165" spans="1:2" x14ac:dyDescent="0.25">
      <c r="A165" s="118" t="s">
        <v>183</v>
      </c>
      <c r="B165" s="124">
        <v>2</v>
      </c>
    </row>
    <row r="166" spans="1:2" x14ac:dyDescent="0.25">
      <c r="A166" s="118" t="s">
        <v>182</v>
      </c>
      <c r="B166" s="124">
        <v>0.3</v>
      </c>
    </row>
    <row r="167" spans="1:2" x14ac:dyDescent="0.25">
      <c r="A167" s="118"/>
      <c r="B167" s="125"/>
    </row>
    <row r="168" spans="1:2" x14ac:dyDescent="0.25">
      <c r="A168" s="118" t="s">
        <v>107</v>
      </c>
      <c r="B168" s="125">
        <v>1.1499999999999999</v>
      </c>
    </row>
    <row r="169" spans="1:2" x14ac:dyDescent="0.25">
      <c r="A169" s="118" t="s">
        <v>108</v>
      </c>
      <c r="B169" s="125">
        <v>1</v>
      </c>
    </row>
    <row r="170" spans="1:2" x14ac:dyDescent="0.25">
      <c r="A170" s="118"/>
      <c r="B170" s="118"/>
    </row>
    <row r="171" spans="1:2" x14ac:dyDescent="0.25">
      <c r="A171" s="117" t="s">
        <v>52</v>
      </c>
      <c r="B171" s="118"/>
    </row>
    <row r="172" spans="1:2" x14ac:dyDescent="0.25">
      <c r="A172" s="118" t="s">
        <v>88</v>
      </c>
      <c r="B172" s="119">
        <v>1</v>
      </c>
    </row>
    <row r="173" spans="1:2" x14ac:dyDescent="0.25">
      <c r="A173" s="118" t="s">
        <v>89</v>
      </c>
      <c r="B173" s="119">
        <v>0</v>
      </c>
    </row>
    <row r="174" spans="1:2" x14ac:dyDescent="0.25">
      <c r="A174" s="118" t="s">
        <v>179</v>
      </c>
      <c r="B174" s="125">
        <v>0.7</v>
      </c>
    </row>
    <row r="175" spans="1:2" x14ac:dyDescent="0.25">
      <c r="A175" s="118" t="s">
        <v>90</v>
      </c>
      <c r="B175" s="121">
        <f>O20</f>
        <v>-20.202877697841725</v>
      </c>
    </row>
    <row r="176" spans="1:2" x14ac:dyDescent="0.25">
      <c r="A176" s="118" t="s">
        <v>91</v>
      </c>
      <c r="B176" s="121">
        <f>P20</f>
        <v>0</v>
      </c>
    </row>
    <row r="177" spans="1:4" x14ac:dyDescent="0.25">
      <c r="A177" s="118" t="s">
        <v>92</v>
      </c>
      <c r="B177" s="121">
        <f>Q20</f>
        <v>-2.1266187050359711</v>
      </c>
    </row>
    <row r="178" spans="1:4" x14ac:dyDescent="0.25">
      <c r="A178" s="118"/>
      <c r="B178" s="118"/>
    </row>
    <row r="179" spans="1:4" x14ac:dyDescent="0.25">
      <c r="A179" s="118" t="s">
        <v>93</v>
      </c>
      <c r="B179" s="119">
        <v>90</v>
      </c>
      <c r="C179" s="133" t="s">
        <v>194</v>
      </c>
      <c r="D179" t="s">
        <v>127</v>
      </c>
    </row>
    <row r="180" spans="1:4" x14ac:dyDescent="0.25">
      <c r="A180" s="118" t="s">
        <v>94</v>
      </c>
      <c r="B180" s="117">
        <v>0</v>
      </c>
    </row>
    <row r="181" spans="1:4" x14ac:dyDescent="0.25">
      <c r="A181" s="118"/>
      <c r="B181" s="118"/>
    </row>
    <row r="182" spans="1:4" x14ac:dyDescent="0.25">
      <c r="A182" s="118"/>
      <c r="B182" s="118"/>
    </row>
    <row r="183" spans="1:4" x14ac:dyDescent="0.25">
      <c r="A183" s="118" t="s">
        <v>95</v>
      </c>
      <c r="B183" s="121">
        <f>L20/2</f>
        <v>2.445611510791367</v>
      </c>
    </row>
    <row r="184" spans="1:4" x14ac:dyDescent="0.25">
      <c r="A184" s="118" t="s">
        <v>159</v>
      </c>
      <c r="B184" s="125">
        <v>0</v>
      </c>
    </row>
    <row r="185" spans="1:4" x14ac:dyDescent="0.25">
      <c r="A185" s="118" t="s">
        <v>160</v>
      </c>
      <c r="B185" s="124">
        <v>20</v>
      </c>
    </row>
    <row r="186" spans="1:4" x14ac:dyDescent="0.25">
      <c r="A186" s="118" t="s">
        <v>96</v>
      </c>
      <c r="B186" s="125">
        <v>4</v>
      </c>
    </row>
    <row r="187" spans="1:4" x14ac:dyDescent="0.25">
      <c r="A187" s="118"/>
      <c r="B187" s="118"/>
    </row>
    <row r="188" spans="1:4" x14ac:dyDescent="0.25">
      <c r="A188" s="118" t="s">
        <v>97</v>
      </c>
      <c r="B188" s="119">
        <v>1400</v>
      </c>
    </row>
    <row r="189" spans="1:4" x14ac:dyDescent="0.25">
      <c r="A189" s="118" t="s">
        <v>98</v>
      </c>
      <c r="B189" s="119">
        <v>2</v>
      </c>
    </row>
    <row r="190" spans="1:4" x14ac:dyDescent="0.25">
      <c r="A190" s="118" t="s">
        <v>99</v>
      </c>
      <c r="B190" s="125">
        <v>12</v>
      </c>
    </row>
    <row r="191" spans="1:4" x14ac:dyDescent="0.25">
      <c r="A191" s="118" t="s">
        <v>100</v>
      </c>
      <c r="B191" s="119">
        <v>20</v>
      </c>
    </row>
    <row r="192" spans="1:4" x14ac:dyDescent="0.25">
      <c r="A192" s="118" t="s">
        <v>101</v>
      </c>
      <c r="B192" s="121">
        <f>N20/2</f>
        <v>0.42532374100719422</v>
      </c>
    </row>
    <row r="193" spans="1:4" x14ac:dyDescent="0.25">
      <c r="A193" s="118" t="s">
        <v>102</v>
      </c>
      <c r="B193" s="121">
        <f>L20/2</f>
        <v>2.445611510791367</v>
      </c>
    </row>
    <row r="194" spans="1:4" x14ac:dyDescent="0.25">
      <c r="A194" s="118" t="s">
        <v>103</v>
      </c>
      <c r="B194" s="127">
        <v>29</v>
      </c>
    </row>
    <row r="195" spans="1:4" x14ac:dyDescent="0.25">
      <c r="A195" s="118"/>
      <c r="B195" s="118"/>
    </row>
    <row r="196" spans="1:4" x14ac:dyDescent="0.25">
      <c r="A196" s="118" t="s">
        <v>104</v>
      </c>
      <c r="B196" s="124">
        <v>0.12</v>
      </c>
    </row>
    <row r="197" spans="1:4" x14ac:dyDescent="0.25">
      <c r="A197" s="118" t="s">
        <v>105</v>
      </c>
      <c r="B197" s="125">
        <v>6.4000000000000003E-3</v>
      </c>
    </row>
    <row r="198" spans="1:4" x14ac:dyDescent="0.25">
      <c r="A198" s="118" t="s">
        <v>106</v>
      </c>
      <c r="B198" s="125">
        <v>2.0000000000000001E-4</v>
      </c>
    </row>
    <row r="199" spans="1:4" x14ac:dyDescent="0.25">
      <c r="A199" s="118" t="s">
        <v>137</v>
      </c>
      <c r="B199" s="125">
        <v>0.4</v>
      </c>
    </row>
    <row r="200" spans="1:4" x14ac:dyDescent="0.25">
      <c r="A200" s="118" t="s">
        <v>107</v>
      </c>
      <c r="B200" s="125">
        <v>1.1499999999999999</v>
      </c>
    </row>
    <row r="201" spans="1:4" x14ac:dyDescent="0.25">
      <c r="A201" s="118" t="s">
        <v>108</v>
      </c>
      <c r="B201" s="125">
        <v>1</v>
      </c>
    </row>
    <row r="202" spans="1:4" x14ac:dyDescent="0.25">
      <c r="A202" s="118"/>
      <c r="B202" s="118"/>
    </row>
    <row r="203" spans="1:4" x14ac:dyDescent="0.25">
      <c r="A203" s="117" t="s">
        <v>53</v>
      </c>
      <c r="B203" s="118"/>
    </row>
    <row r="204" spans="1:4" x14ac:dyDescent="0.25">
      <c r="A204" s="118" t="s">
        <v>109</v>
      </c>
      <c r="B204" s="129">
        <v>3</v>
      </c>
      <c r="C204" s="133" t="s">
        <v>194</v>
      </c>
      <c r="D204" t="s">
        <v>130</v>
      </c>
    </row>
    <row r="205" spans="1:4" x14ac:dyDescent="0.25">
      <c r="A205" s="118" t="s">
        <v>54</v>
      </c>
      <c r="B205" s="129">
        <v>260</v>
      </c>
      <c r="C205" s="133" t="s">
        <v>194</v>
      </c>
      <c r="D205" t="s">
        <v>128</v>
      </c>
    </row>
    <row r="206" spans="1:4" x14ac:dyDescent="0.25">
      <c r="A206" s="118" t="s">
        <v>55</v>
      </c>
      <c r="B206" s="125">
        <v>0.04</v>
      </c>
    </row>
    <row r="207" spans="1:4" x14ac:dyDescent="0.25">
      <c r="A207" s="118" t="s">
        <v>110</v>
      </c>
      <c r="B207" s="129">
        <v>260</v>
      </c>
    </row>
    <row r="208" spans="1:4" x14ac:dyDescent="0.25">
      <c r="A208" s="118" t="s">
        <v>111</v>
      </c>
      <c r="B208" s="119">
        <v>0.02</v>
      </c>
    </row>
    <row r="209" spans="1:4" x14ac:dyDescent="0.25">
      <c r="A209" s="118"/>
      <c r="B209" s="118"/>
    </row>
    <row r="210" spans="1:4" x14ac:dyDescent="0.25">
      <c r="A210" s="117" t="s">
        <v>56</v>
      </c>
      <c r="B210" s="118"/>
    </row>
    <row r="211" spans="1:4" x14ac:dyDescent="0.25">
      <c r="A211" s="118" t="s">
        <v>90</v>
      </c>
      <c r="B211" s="121">
        <f>O17</f>
        <v>-20.202877697841725</v>
      </c>
    </row>
    <row r="212" spans="1:4" x14ac:dyDescent="0.25">
      <c r="A212" s="118" t="s">
        <v>91</v>
      </c>
      <c r="B212" s="121">
        <f>P17</f>
        <v>1.0633093525179855</v>
      </c>
    </row>
    <row r="213" spans="1:4" x14ac:dyDescent="0.25">
      <c r="A213" s="118" t="s">
        <v>92</v>
      </c>
      <c r="B213" s="121">
        <f>Q17</f>
        <v>-0.85064748201438845</v>
      </c>
    </row>
    <row r="214" spans="1:4" x14ac:dyDescent="0.25">
      <c r="A214" s="118" t="s">
        <v>112</v>
      </c>
      <c r="B214" s="121">
        <f>G34</f>
        <v>4.7486324724393141</v>
      </c>
    </row>
    <row r="215" spans="1:4" x14ac:dyDescent="0.25">
      <c r="A215" s="118" t="s">
        <v>113</v>
      </c>
      <c r="B215" s="125">
        <v>1</v>
      </c>
    </row>
    <row r="216" spans="1:4" x14ac:dyDescent="0.25">
      <c r="A216" s="130" t="s">
        <v>197</v>
      </c>
      <c r="B216" s="125">
        <v>1</v>
      </c>
    </row>
    <row r="217" spans="1:4" x14ac:dyDescent="0.25">
      <c r="A217" s="130" t="s">
        <v>212</v>
      </c>
      <c r="B217" s="125">
        <v>0</v>
      </c>
    </row>
    <row r="218" spans="1:4" x14ac:dyDescent="0.25">
      <c r="A218" s="118" t="s">
        <v>114</v>
      </c>
      <c r="B218" s="119">
        <v>0</v>
      </c>
      <c r="C218" s="133" t="s">
        <v>194</v>
      </c>
      <c r="D218" t="s">
        <v>129</v>
      </c>
    </row>
    <row r="219" spans="1:4" x14ac:dyDescent="0.25">
      <c r="A219" s="118"/>
      <c r="B219" s="118"/>
    </row>
    <row r="220" spans="1:4" x14ac:dyDescent="0.25">
      <c r="A220" s="117" t="s">
        <v>57</v>
      </c>
      <c r="B220" s="118"/>
    </row>
    <row r="221" spans="1:4" x14ac:dyDescent="0.25">
      <c r="A221" s="118" t="s">
        <v>90</v>
      </c>
      <c r="B221" s="121">
        <f>O19</f>
        <v>-20.202877697841725</v>
      </c>
    </row>
    <row r="222" spans="1:4" x14ac:dyDescent="0.25">
      <c r="A222" s="118" t="s">
        <v>91</v>
      </c>
      <c r="B222" s="121">
        <f>P19</f>
        <v>0</v>
      </c>
    </row>
    <row r="223" spans="1:4" x14ac:dyDescent="0.25">
      <c r="A223" s="118" t="s">
        <v>92</v>
      </c>
      <c r="B223" s="121">
        <f>Q19</f>
        <v>-2.1266187050359711</v>
      </c>
    </row>
    <row r="224" spans="1:4" x14ac:dyDescent="0.25">
      <c r="A224" s="118" t="s">
        <v>112</v>
      </c>
      <c r="B224" s="121">
        <f>E36</f>
        <v>8.5475384503907641</v>
      </c>
    </row>
    <row r="225" spans="1:4" x14ac:dyDescent="0.25">
      <c r="A225" s="118" t="s">
        <v>113</v>
      </c>
      <c r="B225" s="125">
        <v>1</v>
      </c>
    </row>
    <row r="226" spans="1:4" x14ac:dyDescent="0.25">
      <c r="A226" s="130" t="s">
        <v>197</v>
      </c>
      <c r="B226" s="125">
        <v>1</v>
      </c>
    </row>
    <row r="227" spans="1:4" x14ac:dyDescent="0.25">
      <c r="A227" s="130" t="s">
        <v>212</v>
      </c>
      <c r="B227" s="125">
        <v>0</v>
      </c>
    </row>
    <row r="228" spans="1:4" x14ac:dyDescent="0.25">
      <c r="A228" s="130" t="s">
        <v>114</v>
      </c>
      <c r="B228" s="119">
        <v>1</v>
      </c>
    </row>
    <row r="229" spans="1:4" x14ac:dyDescent="0.25">
      <c r="A229" s="135"/>
      <c r="B229" s="118"/>
    </row>
    <row r="230" spans="1:4" x14ac:dyDescent="0.25">
      <c r="A230" s="118"/>
      <c r="B230" s="118"/>
    </row>
    <row r="231" spans="1:4" x14ac:dyDescent="0.25">
      <c r="A231" s="117" t="s">
        <v>138</v>
      </c>
      <c r="B231" s="118"/>
    </row>
    <row r="232" spans="1:4" x14ac:dyDescent="0.25">
      <c r="A232" s="130" t="s">
        <v>151</v>
      </c>
      <c r="B232" s="131">
        <v>0.7</v>
      </c>
      <c r="D232" s="82" t="s">
        <v>195</v>
      </c>
    </row>
    <row r="233" spans="1:4" x14ac:dyDescent="0.25">
      <c r="A233" s="118" t="s">
        <v>146</v>
      </c>
      <c r="B233" s="131">
        <v>1</v>
      </c>
    </row>
    <row r="234" spans="1:4" x14ac:dyDescent="0.25">
      <c r="A234" s="118" t="s">
        <v>139</v>
      </c>
      <c r="B234" s="131">
        <v>100000</v>
      </c>
      <c r="D234" t="s">
        <v>140</v>
      </c>
    </row>
    <row r="235" spans="1:4" x14ac:dyDescent="0.25">
      <c r="A235" s="118" t="s">
        <v>141</v>
      </c>
      <c r="B235" s="131">
        <v>1</v>
      </c>
      <c r="D235" t="s">
        <v>142</v>
      </c>
    </row>
    <row r="236" spans="1:4" x14ac:dyDescent="0.25">
      <c r="A236" s="118" t="s">
        <v>143</v>
      </c>
      <c r="B236" s="132">
        <f>0.02</f>
        <v>0.02</v>
      </c>
      <c r="D236" t="s">
        <v>144</v>
      </c>
    </row>
    <row r="237" spans="1:4" x14ac:dyDescent="0.25">
      <c r="A237" s="118" t="s">
        <v>180</v>
      </c>
      <c r="B237" s="131">
        <v>15</v>
      </c>
    </row>
    <row r="238" spans="1:4" x14ac:dyDescent="0.25">
      <c r="A238" s="118" t="s">
        <v>201</v>
      </c>
      <c r="B238" s="131">
        <v>1</v>
      </c>
    </row>
    <row r="239" spans="1:4" x14ac:dyDescent="0.25">
      <c r="A239" s="118" t="s">
        <v>203</v>
      </c>
      <c r="B239" s="131">
        <v>0.4</v>
      </c>
    </row>
    <row r="240" spans="1:4" x14ac:dyDescent="0.25">
      <c r="A240" s="118" t="s">
        <v>207</v>
      </c>
      <c r="B240" s="131">
        <v>1</v>
      </c>
    </row>
    <row r="241" spans="1:2" x14ac:dyDescent="0.25">
      <c r="A241" s="118" t="s">
        <v>208</v>
      </c>
      <c r="B241" s="131">
        <v>1</v>
      </c>
    </row>
    <row r="65395" spans="2:2" x14ac:dyDescent="0.25">
      <c r="B65395" t="s">
        <v>29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4</vt:i4>
      </vt:variant>
    </vt:vector>
  </HeadingPairs>
  <TitlesOfParts>
    <vt:vector size="5" baseType="lpstr">
      <vt:lpstr>Helo</vt:lpstr>
      <vt:lpstr>scale</vt:lpstr>
      <vt:lpstr>scale2</vt:lpstr>
      <vt:lpstr>simcenter</vt:lpstr>
      <vt:lpstr>slug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</dc:creator>
  <cp:lastModifiedBy>fred naar</cp:lastModifiedBy>
  <dcterms:created xsi:type="dcterms:W3CDTF">2008-08-26T20:20:32Z</dcterms:created>
  <dcterms:modified xsi:type="dcterms:W3CDTF">2021-09-09T22:49:52Z</dcterms:modified>
</cp:coreProperties>
</file>