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zlak\Githubprojects\FloodsandHealth\FloodsAndHealthTool\examples\Data bronnen\"/>
    </mc:Choice>
  </mc:AlternateContent>
  <xr:revisionPtr revIDLastSave="0" documentId="13_ncr:1_{FEF076CD-CCB2-4E3D-9DEB-1CD0F69F5BCF}" xr6:coauthVersionLast="41" xr6:coauthVersionMax="45" xr10:uidLastSave="{00000000-0000-0000-0000-000000000000}"/>
  <bookViews>
    <workbookView xWindow="-28920" yWindow="-120" windowWidth="29040" windowHeight="15840" activeTab="5" xr2:uid="{DCEF2428-4976-46D2-B85B-8DDF3C37A4F6}"/>
  </bookViews>
  <sheets>
    <sheet name="Parameter" sheetId="2" r:id="rId1"/>
    <sheet name="Step 1 - Hazard" sheetId="1" r:id="rId2"/>
    <sheet name="Step 2 - Exposure" sheetId="3" r:id="rId3"/>
    <sheet name="Step 3 - Dose-Response" sheetId="4" r:id="rId4"/>
    <sheet name="QMRA calculation example" sheetId="7" r:id="rId5"/>
    <sheet name="QMRA case studies" sheetId="10" r:id="rId6"/>
    <sheet name="Campylobacter de ma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7" l="1"/>
  <c r="M11" i="7"/>
  <c r="M10" i="7"/>
  <c r="M9" i="7"/>
  <c r="J4" i="7"/>
  <c r="P4" i="7" l="1"/>
  <c r="D8" i="1"/>
  <c r="C8" i="1"/>
  <c r="D7" i="1"/>
  <c r="C7" i="1"/>
  <c r="E6" i="1"/>
  <c r="E5" i="9" l="1"/>
  <c r="H15" i="9" s="1"/>
  <c r="D13" i="1"/>
  <c r="C13" i="1"/>
  <c r="C5" i="7" l="1"/>
  <c r="J5" i="7" s="1"/>
  <c r="N5" i="7" s="1"/>
  <c r="P5" i="7" s="1"/>
  <c r="D5" i="1"/>
  <c r="C5" i="1"/>
  <c r="D4" i="1"/>
  <c r="C4" i="1"/>
  <c r="D3" i="1"/>
  <c r="C3" i="1"/>
  <c r="D2" i="1"/>
</calcChain>
</file>

<file path=xl/sharedStrings.xml><?xml version="1.0" encoding="utf-8"?>
<sst xmlns="http://schemas.openxmlformats.org/spreadsheetml/2006/main" count="544" uniqueCount="304">
  <si>
    <t xml:space="preserve">QMRA model </t>
  </si>
  <si>
    <t>Pathogen Concentration</t>
  </si>
  <si>
    <t>C</t>
  </si>
  <si>
    <t>Unit</t>
  </si>
  <si>
    <t>ml/L</t>
  </si>
  <si>
    <t>Description</t>
  </si>
  <si>
    <t>Pathogen concentration in the floodwater</t>
  </si>
  <si>
    <t>Source</t>
  </si>
  <si>
    <t>Sampling, model, literature</t>
  </si>
  <si>
    <t>Influenced by origin of pathogen</t>
  </si>
  <si>
    <t>Pathogen</t>
  </si>
  <si>
    <t xml:space="preserve"> Step 1 - Hazard</t>
  </si>
  <si>
    <t>Volume of exposure</t>
  </si>
  <si>
    <t>Vtotal</t>
  </si>
  <si>
    <t>Total volume of exposure</t>
  </si>
  <si>
    <t>ml</t>
  </si>
  <si>
    <t>Sub-parameter volume of exposure</t>
  </si>
  <si>
    <t>Step 2 - Exposure</t>
  </si>
  <si>
    <t>Dose</t>
  </si>
  <si>
    <t>Step 3 - Dose-Response</t>
  </si>
  <si>
    <t>Concentration</t>
  </si>
  <si>
    <t>Max conc</t>
  </si>
  <si>
    <t>Min conc</t>
  </si>
  <si>
    <t>Average conc</t>
  </si>
  <si>
    <t>Sigma</t>
  </si>
  <si>
    <t>Exposure group</t>
  </si>
  <si>
    <t>Regression model</t>
  </si>
  <si>
    <t>Alpha</t>
  </si>
  <si>
    <t>Beta</t>
  </si>
  <si>
    <t>N50</t>
  </si>
  <si>
    <t>Volume hand-mouth contact</t>
  </si>
  <si>
    <t>Volume drinking water</t>
  </si>
  <si>
    <t>Volume swimming</t>
  </si>
  <si>
    <t>Volume splashed pedestrian</t>
  </si>
  <si>
    <t>Total dose of exposure</t>
  </si>
  <si>
    <t>D</t>
  </si>
  <si>
    <t>Parameter</t>
  </si>
  <si>
    <t>Volume of few drops</t>
  </si>
  <si>
    <t>D = Vtotal * C</t>
  </si>
  <si>
    <t>Literature</t>
  </si>
  <si>
    <t>Transmission route</t>
  </si>
  <si>
    <t>Vd</t>
  </si>
  <si>
    <t>Vm</t>
  </si>
  <si>
    <t>Vsp</t>
  </si>
  <si>
    <t>Vsw</t>
  </si>
  <si>
    <t>Alpha Distribution</t>
  </si>
  <si>
    <t>Dependency</t>
  </si>
  <si>
    <t>Beta-Poisson</t>
  </si>
  <si>
    <t>a</t>
  </si>
  <si>
    <t>b</t>
  </si>
  <si>
    <t>Pathogen dependent</t>
  </si>
  <si>
    <t>Exponential regression</t>
  </si>
  <si>
    <t>Beta Distribution</t>
  </si>
  <si>
    <t>Infection rate</t>
  </si>
  <si>
    <t>r</t>
  </si>
  <si>
    <t>Risk per infection</t>
  </si>
  <si>
    <t>Duration of exposure</t>
  </si>
  <si>
    <t>Frequency of exposure</t>
  </si>
  <si>
    <t>QHM</t>
  </si>
  <si>
    <t>QHM = a*f*h</t>
  </si>
  <si>
    <t>Ingestion rate due to hand-mouth contact</t>
  </si>
  <si>
    <t>De Man 2014</t>
  </si>
  <si>
    <t>t</t>
  </si>
  <si>
    <t>f</t>
  </si>
  <si>
    <t>Dependent on exposure route (inhalation, dermal contact, ingestion) and age</t>
  </si>
  <si>
    <t>Ingestion</t>
  </si>
  <si>
    <t>Campylobacter</t>
  </si>
  <si>
    <t>Sewer</t>
  </si>
  <si>
    <t>mpn/L</t>
  </si>
  <si>
    <t>de Man et al (2014)</t>
  </si>
  <si>
    <t>Flood origin</t>
  </si>
  <si>
    <t>cfu/L</t>
  </si>
  <si>
    <t>ten Veldhuis et al (2010)</t>
  </si>
  <si>
    <t>E.coli</t>
  </si>
  <si>
    <t>Sewer and pluvial</t>
  </si>
  <si>
    <t>Mark et al (2018)</t>
  </si>
  <si>
    <t xml:space="preserve">Sewer  </t>
  </si>
  <si>
    <t>mpn/ml</t>
  </si>
  <si>
    <t>cfu/100mL</t>
  </si>
  <si>
    <t>Area</t>
  </si>
  <si>
    <t>Adult</t>
  </si>
  <si>
    <t>Children</t>
  </si>
  <si>
    <t>Activity</t>
  </si>
  <si>
    <t>Drinking water</t>
  </si>
  <si>
    <t>drinking</t>
  </si>
  <si>
    <t>L/person/day</t>
  </si>
  <si>
    <t>Environment</t>
  </si>
  <si>
    <t>slum</t>
  </si>
  <si>
    <t>ml/person/day</t>
  </si>
  <si>
    <t>Katukiza et al., 2013</t>
  </si>
  <si>
    <t>Flood water</t>
  </si>
  <si>
    <t>playing</t>
  </si>
  <si>
    <t>Schets et al., 2011</t>
  </si>
  <si>
    <t>ml/d</t>
  </si>
  <si>
    <t>wading</t>
  </si>
  <si>
    <t>Floodwater</t>
  </si>
  <si>
    <t>Swimming</t>
  </si>
  <si>
    <t>Wading</t>
  </si>
  <si>
    <t>Splashed Pedestrian</t>
  </si>
  <si>
    <t>Playing</t>
  </si>
  <si>
    <t>Exposure</t>
  </si>
  <si>
    <t>Adult per day</t>
  </si>
  <si>
    <t>Children per exposure</t>
  </si>
  <si>
    <t>Dose-Response</t>
  </si>
  <si>
    <t>Beta poisson</t>
  </si>
  <si>
    <t>alpha</t>
  </si>
  <si>
    <t>beta</t>
  </si>
  <si>
    <t>Risk assessment</t>
  </si>
  <si>
    <t>Number of events per year</t>
  </si>
  <si>
    <t>Yearly risk</t>
  </si>
  <si>
    <t>ten Veldhuis</t>
  </si>
  <si>
    <t>Risk of infection per day/event</t>
  </si>
  <si>
    <t>Beta Poisson</t>
  </si>
  <si>
    <t>Rotavirus</t>
  </si>
  <si>
    <t>Exponential</t>
  </si>
  <si>
    <t>Cryptosporidium</t>
  </si>
  <si>
    <t>Giardia</t>
  </si>
  <si>
    <t>Ascaris</t>
  </si>
  <si>
    <t>Median infection dose</t>
  </si>
  <si>
    <t>oocysts/L</t>
  </si>
  <si>
    <t>Norovirus</t>
  </si>
  <si>
    <t>pdu/L</t>
  </si>
  <si>
    <t>Splashed pedestrian</t>
  </si>
  <si>
    <t>Hand-mouth contact</t>
  </si>
  <si>
    <t xml:space="preserve">de Man et al </t>
  </si>
  <si>
    <t>swimming</t>
  </si>
  <si>
    <t>Adenovirus</t>
  </si>
  <si>
    <t>Enterococci</t>
  </si>
  <si>
    <t>Salmonella</t>
  </si>
  <si>
    <t xml:space="preserve">Campylobacter </t>
  </si>
  <si>
    <t>de man</t>
  </si>
  <si>
    <t>Equation</t>
  </si>
  <si>
    <t xml:space="preserve">min </t>
  </si>
  <si>
    <t>max</t>
  </si>
  <si>
    <t>95th percentile</t>
  </si>
  <si>
    <t>Hazard</t>
  </si>
  <si>
    <t>Concentration pathogen</t>
  </si>
  <si>
    <t>mpu/L</t>
  </si>
  <si>
    <t>Vtotal*C</t>
  </si>
  <si>
    <t>Volume of ingestion</t>
  </si>
  <si>
    <t>Vd + Vm + QHM * t</t>
  </si>
  <si>
    <t>ingestion few drops</t>
  </si>
  <si>
    <t>(Schijven and de Roda Husman, 2006).</t>
  </si>
  <si>
    <t>mouthful water</t>
  </si>
  <si>
    <t>gamma distributed with a mean of 25 ml (95% CI 7.8e52.2 ml) (Schets et al., 2011).</t>
  </si>
  <si>
    <t>ingestion rate due to hand and mouth contact</t>
  </si>
  <si>
    <t>QHM = a * h * f</t>
  </si>
  <si>
    <t>ml/min</t>
  </si>
  <si>
    <t>h</t>
  </si>
  <si>
    <t>film thickness of water on hands</t>
  </si>
  <si>
    <t>2.34*10²</t>
  </si>
  <si>
    <t>1.97*10²</t>
  </si>
  <si>
    <t>mm</t>
  </si>
  <si>
    <t>uniformly distributed</t>
  </si>
  <si>
    <t>skin surface are that was mouthed</t>
  </si>
  <si>
    <t>mm²</t>
  </si>
  <si>
    <t>frequency of hand mouth contact</t>
  </si>
  <si>
    <t>/h</t>
  </si>
  <si>
    <t>Poisson distributed</t>
  </si>
  <si>
    <t>duration of hand to mouth contact</t>
  </si>
  <si>
    <t>min</t>
  </si>
  <si>
    <t>Pevent</t>
  </si>
  <si>
    <t>Infection risk per event</t>
  </si>
  <si>
    <t xml:space="preserve"> 1 - 1F1 (a, a + b, -D)</t>
  </si>
  <si>
    <t>Pinf_day = 1-(1+(d/β))^-α</t>
  </si>
  <si>
    <t>1F1</t>
  </si>
  <si>
    <t>Hypergeometric distribution</t>
  </si>
  <si>
    <t>alpha distribution</t>
  </si>
  <si>
    <t>beta distribution</t>
  </si>
  <si>
    <t>Risk</t>
  </si>
  <si>
    <t>P_inf_event</t>
  </si>
  <si>
    <t>Accumulated risk of multiple pathogens</t>
  </si>
  <si>
    <t>Pinf_Event = 1-(1-Pinf_1)x(1-P_inf2)…</t>
  </si>
  <si>
    <t>P_inf_year</t>
  </si>
  <si>
    <t>Yearly infection risk/disease burden</t>
  </si>
  <si>
    <t>Country</t>
  </si>
  <si>
    <t>Flood</t>
  </si>
  <si>
    <t>Hazard source</t>
  </si>
  <si>
    <t>Value</t>
  </si>
  <si>
    <t>Data source</t>
  </si>
  <si>
    <t>De Man (2014)</t>
  </si>
  <si>
    <t>Netherlands</t>
  </si>
  <si>
    <t>Yes</t>
  </si>
  <si>
    <t>Urban</t>
  </si>
  <si>
    <t>Storm sewer, combined sewer, surface runoff</t>
  </si>
  <si>
    <t>Sampling flood water</t>
  </si>
  <si>
    <t>Infection risk per exposure event</t>
  </si>
  <si>
    <t>Beta-poisson (Campylobacter, norovirus, enterovirus)</t>
  </si>
  <si>
    <t>𝑃_𝒊𝒏𝒇𝒚𝒆𝒂𝒓=1 − ∑_(𝑖=1)^𝑁▒〖(1−𝑃_𝑖𝑛𝑓𝐸𝑣𝑒𝑛𝑡)〗</t>
  </si>
  <si>
    <t>Cryptosporidium and Giardia</t>
  </si>
  <si>
    <t>0.5-5</t>
  </si>
  <si>
    <t>(Schijven and de Roda Husman, 2006)</t>
  </si>
  <si>
    <t>dependent on pathogen</t>
  </si>
  <si>
    <t>Enteric virus</t>
  </si>
  <si>
    <t>(Schets et al., 2011)</t>
  </si>
  <si>
    <t>Questionnaire</t>
  </si>
  <si>
    <t xml:space="preserve"> </t>
  </si>
  <si>
    <t>𝑃=1−ⅇ^(−𝑟𝐷)</t>
  </si>
  <si>
    <t>2.34*10²-1.97*10²</t>
  </si>
  <si>
    <t>(US EPA, 2011)</t>
  </si>
  <si>
    <t>infection rate (probability of survival)</t>
  </si>
  <si>
    <t>100-2000</t>
  </si>
  <si>
    <t>Exponential (Cryptosporidium, Giardia)</t>
  </si>
  <si>
    <t>(Freeman et al., 2001)</t>
  </si>
  <si>
    <t>Wadani (2017)</t>
  </si>
  <si>
    <t>Indonesia</t>
  </si>
  <si>
    <t>No</t>
  </si>
  <si>
    <t>River catchment</t>
  </si>
  <si>
    <t>WWTP, communal sewage water treatment, septic tank leakages, livestock emissions</t>
  </si>
  <si>
    <t>SOBEK model</t>
  </si>
  <si>
    <t>V</t>
  </si>
  <si>
    <t>P_inf_day</t>
  </si>
  <si>
    <t>Probability of Cryptosporidium infection per day</t>
  </si>
  <si>
    <t>(Smeets et. al, 2007)</t>
  </si>
  <si>
    <t>Mean risk of infection per day</t>
  </si>
  <si>
    <t xml:space="preserve">Cryptosporidium  </t>
  </si>
  <si>
    <t>Calculated from E.coli</t>
  </si>
  <si>
    <t>Drinking</t>
  </si>
  <si>
    <t>1 to 3</t>
  </si>
  <si>
    <t>L/d</t>
  </si>
  <si>
    <t>α</t>
  </si>
  <si>
    <t>coefficient</t>
  </si>
  <si>
    <t>Exponential (Cryptosporidium)</t>
  </si>
  <si>
    <t>210-360</t>
  </si>
  <si>
    <t>β</t>
  </si>
  <si>
    <t>(Medema, 2007)</t>
  </si>
  <si>
    <t>D = C x V x t</t>
  </si>
  <si>
    <t>Combined</t>
  </si>
  <si>
    <t>time</t>
  </si>
  <si>
    <t>day</t>
  </si>
  <si>
    <t>Characterization</t>
  </si>
  <si>
    <t>high, medium, low</t>
  </si>
  <si>
    <t>literature (Haas et al., 1996)</t>
  </si>
  <si>
    <t>Uganda</t>
  </si>
  <si>
    <t>Slum environment</t>
  </si>
  <si>
    <t>V_total</t>
  </si>
  <si>
    <t>ingestion + dermal contact</t>
  </si>
  <si>
    <t>P_inf_daily</t>
  </si>
  <si>
    <t>DALY</t>
  </si>
  <si>
    <t>V_wastewater</t>
  </si>
  <si>
    <t>Volume waste water ingested</t>
  </si>
  <si>
    <t>various sources</t>
  </si>
  <si>
    <t>P_inf_annually</t>
  </si>
  <si>
    <t>Total coliforms</t>
  </si>
  <si>
    <t>V_water</t>
  </si>
  <si>
    <t>Volume water ingested</t>
  </si>
  <si>
    <t>V_soil</t>
  </si>
  <si>
    <t>Volume soil ingested</t>
  </si>
  <si>
    <t>g/d</t>
  </si>
  <si>
    <t>Sterk et al., 2008</t>
  </si>
  <si>
    <t>Pluvial flood</t>
  </si>
  <si>
    <t xml:space="preserve">Dose </t>
  </si>
  <si>
    <t>nr pathogens</t>
  </si>
  <si>
    <t>D=(c*v)/(d*1000)</t>
  </si>
  <si>
    <t>P_inf</t>
  </si>
  <si>
    <t>Probability of infection by pathogen</t>
  </si>
  <si>
    <t>Comparison WHO &amp; EU swimming guidelines</t>
  </si>
  <si>
    <t>c</t>
  </si>
  <si>
    <t>concentration pathogens in water</t>
  </si>
  <si>
    <t>nr/L</t>
  </si>
  <si>
    <t>Teunis et al 1996)</t>
  </si>
  <si>
    <t>v</t>
  </si>
  <si>
    <t>Intake volume</t>
  </si>
  <si>
    <t>P_inf=1-(1+D/β)^-α</t>
  </si>
  <si>
    <t>1) children playing</t>
  </si>
  <si>
    <t>Steyn et al., 2004</t>
  </si>
  <si>
    <t>2) pedestrians splash water</t>
  </si>
  <si>
    <t>P*
inf : probability of infection by a certain pathogen when ingesting a dose
μ : dose of the pathogen
α, β : pathogen-specific constants describing the conditional survival
probability of that pathogen</t>
  </si>
  <si>
    <t>d</t>
  </si>
  <si>
    <t>dilution factor</t>
  </si>
  <si>
    <t>50-100</t>
  </si>
  <si>
    <t>Expert judgement, Monet Carlo simulations</t>
  </si>
  <si>
    <t>Nguyen et al., 2017</t>
  </si>
  <si>
    <t>Vietnam</t>
  </si>
  <si>
    <t>Volume ingested by children playing</t>
  </si>
  <si>
    <t>Sampling flood water, monte carlo simulation</t>
  </si>
  <si>
    <t>D = (V*C)/(d*1000)</t>
  </si>
  <si>
    <t>no dilution</t>
  </si>
  <si>
    <t>Beta-Poisson model</t>
  </si>
  <si>
    <t>Average infection probability and distribution</t>
  </si>
  <si>
    <t>Yes, tidal induced</t>
  </si>
  <si>
    <t>Step 4 - Risk assessment</t>
  </si>
  <si>
    <t>Fluvial with sewage inflow</t>
  </si>
  <si>
    <t>mpn/100ml</t>
  </si>
  <si>
    <t>Nguyen et al (2016)</t>
  </si>
  <si>
    <t>Fewtrell et al (2011)</t>
  </si>
  <si>
    <t>de man et al (2014)</t>
  </si>
  <si>
    <t>Sewer and pluvial flooding</t>
  </si>
  <si>
    <t>/100mL</t>
  </si>
  <si>
    <t>ten Veldhuis 2010</t>
  </si>
  <si>
    <t>ml per event</t>
  </si>
  <si>
    <t>Dorevitch et al 2011</t>
  </si>
  <si>
    <t>mL/h</t>
  </si>
  <si>
    <t>ml/contact</t>
  </si>
  <si>
    <t>middle-class</t>
  </si>
  <si>
    <t>WHO</t>
  </si>
  <si>
    <t>Volume ingested by adults on streets</t>
  </si>
  <si>
    <t>Risk multiple pathogens</t>
  </si>
  <si>
    <t>Risk of infection per exposure</t>
  </si>
  <si>
    <t>P_year=1-(1-P_event)^n</t>
  </si>
  <si>
    <t>Exposure events per year</t>
  </si>
  <si>
    <t>n</t>
  </si>
  <si>
    <t>P_event= 1 - (1+ (d/N50) * 2^(1/a)-1))^-a</t>
  </si>
  <si>
    <t>P_inf= 1 - (1+ (d/N50) * (2^(1/a)-1))^-a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</si>
</sst>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7" xfId="0" applyBorder="1" applyAlignment="1">
      <alignment wrapText="1"/>
    </xf>
    <xf numFmtId="16" fontId="0" fillId="0" borderId="7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1" fillId="0" borderId="11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373380</xdr:colOff>
      <xdr:row>3</xdr:row>
      <xdr:rowOff>30480</xdr:rowOff>
    </xdr:from>
    <xdr:ext cx="2098138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941D2E-5506-4A7C-8951-42DEEC01247F}"/>
                </a:ext>
              </a:extLst>
            </xdr:cNvPr>
            <xdr:cNvSpPr txBox="1"/>
          </xdr:nvSpPr>
          <xdr:spPr>
            <a:xfrm>
              <a:off x="15765780" y="762000"/>
              <a:ext cx="209813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𝒊𝒏𝒇𝒚𝒆𝒂𝒓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=1 −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𝑖𝑛𝑓𝐸𝑣𝑒𝑛𝑡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941D2E-5506-4A7C-8951-42DEEC01247F}"/>
                </a:ext>
              </a:extLst>
            </xdr:cNvPr>
            <xdr:cNvSpPr txBox="1"/>
          </xdr:nvSpPr>
          <xdr:spPr>
            <a:xfrm>
              <a:off x="15765780" y="762000"/>
              <a:ext cx="209813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en-US" sz="1100" b="1" i="0">
                  <a:latin typeface="Cambria Math" panose="02040503050406030204" pitchFamily="18" charset="0"/>
                </a:rPr>
                <a:t>𝒊𝒏𝒇𝒚𝒆𝒂𝒓</a:t>
              </a:r>
              <a:r>
                <a:rPr lang="en-US" sz="1100" b="0" i="0">
                  <a:latin typeface="Cambria Math" panose="02040503050406030204" pitchFamily="18" charset="0"/>
                </a:rPr>
                <a:t>=1 − ∑_(𝑖=1)^𝑁▒〖(1−𝑃_𝑖𝑛𝑓𝐸𝑣𝑒𝑛𝑡)〗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20</xdr:row>
      <xdr:rowOff>99060</xdr:rowOff>
    </xdr:from>
    <xdr:ext cx="2098138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972872-13E4-4968-8632-E209C67E5A57}"/>
                </a:ext>
              </a:extLst>
            </xdr:cNvPr>
            <xdr:cNvSpPr txBox="1"/>
          </xdr:nvSpPr>
          <xdr:spPr>
            <a:xfrm>
              <a:off x="3482340" y="3756660"/>
              <a:ext cx="209813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𝒊𝒏𝒇𝒚𝒆𝒂𝒓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=1 −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𝑖𝑛𝑓𝐸𝑣𝑒𝑛𝑡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972872-13E4-4968-8632-E209C67E5A57}"/>
                </a:ext>
              </a:extLst>
            </xdr:cNvPr>
            <xdr:cNvSpPr txBox="1"/>
          </xdr:nvSpPr>
          <xdr:spPr>
            <a:xfrm>
              <a:off x="3482340" y="3756660"/>
              <a:ext cx="209813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en-US" sz="1100" b="1" i="0">
                  <a:latin typeface="Cambria Math" panose="02040503050406030204" pitchFamily="18" charset="0"/>
                </a:rPr>
                <a:t>𝒊𝒏𝒇𝒚𝒆𝒂𝒓</a:t>
              </a:r>
              <a:r>
                <a:rPr lang="en-US" sz="1100" b="0" i="0">
                  <a:latin typeface="Cambria Math" panose="02040503050406030204" pitchFamily="18" charset="0"/>
                </a:rPr>
                <a:t>=1 − ∑_(𝑖=1)^𝑁▒〖(1−𝑃_𝑖𝑛𝑓𝐸𝑣𝑒𝑛𝑡)〗</a:t>
              </a:r>
              <a:endParaRPr lang="nl-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2FB2-901A-40F1-A65A-0E3F855B4A3F}">
  <dimension ref="A2:J36"/>
  <sheetViews>
    <sheetView workbookViewId="0">
      <selection activeCell="J26" sqref="J26"/>
    </sheetView>
  </sheetViews>
  <sheetFormatPr defaultRowHeight="15" x14ac:dyDescent="0.25"/>
  <cols>
    <col min="3" max="3" width="22.7109375" customWidth="1"/>
  </cols>
  <sheetData>
    <row r="2" spans="1:10" x14ac:dyDescent="0.25">
      <c r="C2" t="s">
        <v>0</v>
      </c>
    </row>
    <row r="3" spans="1:10" ht="30" x14ac:dyDescent="0.25">
      <c r="B3" s="4" t="s">
        <v>46</v>
      </c>
      <c r="D3" t="s">
        <v>36</v>
      </c>
      <c r="E3" t="s">
        <v>3</v>
      </c>
      <c r="F3" t="s">
        <v>5</v>
      </c>
      <c r="G3" t="s">
        <v>7</v>
      </c>
    </row>
    <row r="4" spans="1:10" ht="28.9" customHeight="1" x14ac:dyDescent="0.25">
      <c r="A4" s="25" t="s">
        <v>11</v>
      </c>
      <c r="B4" s="4"/>
      <c r="C4" s="2" t="s">
        <v>10</v>
      </c>
    </row>
    <row r="5" spans="1:10" x14ac:dyDescent="0.25">
      <c r="A5" s="25"/>
      <c r="B5" s="4"/>
      <c r="C5" t="s">
        <v>1</v>
      </c>
      <c r="D5" s="2" t="s">
        <v>2</v>
      </c>
      <c r="E5" t="s">
        <v>4</v>
      </c>
      <c r="F5" t="s">
        <v>6</v>
      </c>
      <c r="G5" t="s">
        <v>8</v>
      </c>
      <c r="J5" t="s">
        <v>9</v>
      </c>
    </row>
    <row r="8" spans="1:10" x14ac:dyDescent="0.25">
      <c r="A8" s="25" t="s">
        <v>17</v>
      </c>
      <c r="B8" s="4"/>
      <c r="C8" s="2" t="s">
        <v>12</v>
      </c>
    </row>
    <row r="9" spans="1:10" x14ac:dyDescent="0.25">
      <c r="A9" s="25"/>
      <c r="B9" s="4"/>
      <c r="C9" t="s">
        <v>14</v>
      </c>
      <c r="D9" s="2" t="s">
        <v>13</v>
      </c>
      <c r="E9" t="s">
        <v>15</v>
      </c>
    </row>
    <row r="10" spans="1:10" x14ac:dyDescent="0.25">
      <c r="A10" s="25"/>
      <c r="B10" s="4"/>
    </row>
    <row r="11" spans="1:10" x14ac:dyDescent="0.25">
      <c r="A11" s="25"/>
      <c r="B11" s="4"/>
      <c r="C11" s="2" t="s">
        <v>16</v>
      </c>
      <c r="F11" t="s">
        <v>64</v>
      </c>
    </row>
    <row r="12" spans="1:10" x14ac:dyDescent="0.25">
      <c r="A12" s="25"/>
      <c r="B12" s="25" t="s">
        <v>65</v>
      </c>
      <c r="C12" s="3" t="s">
        <v>37</v>
      </c>
      <c r="D12" t="s">
        <v>41</v>
      </c>
      <c r="G12" t="s">
        <v>39</v>
      </c>
    </row>
    <row r="13" spans="1:10" x14ac:dyDescent="0.25">
      <c r="A13" s="25"/>
      <c r="B13" s="25"/>
      <c r="C13" t="s">
        <v>30</v>
      </c>
      <c r="D13" t="s">
        <v>42</v>
      </c>
    </row>
    <row r="14" spans="1:10" x14ac:dyDescent="0.25">
      <c r="A14" s="25"/>
      <c r="B14" s="25"/>
      <c r="C14" t="s">
        <v>31</v>
      </c>
      <c r="D14" t="s">
        <v>41</v>
      </c>
    </row>
    <row r="15" spans="1:10" x14ac:dyDescent="0.25">
      <c r="A15" s="25"/>
      <c r="B15" s="25"/>
      <c r="C15" t="s">
        <v>32</v>
      </c>
      <c r="D15" t="s">
        <v>44</v>
      </c>
    </row>
    <row r="16" spans="1:10" x14ac:dyDescent="0.25">
      <c r="A16" s="25"/>
      <c r="B16" s="25"/>
      <c r="C16" t="s">
        <v>33</v>
      </c>
      <c r="D16" t="s">
        <v>43</v>
      </c>
    </row>
    <row r="17" spans="1:7" x14ac:dyDescent="0.25">
      <c r="A17" s="4"/>
      <c r="B17" s="25"/>
      <c r="C17" t="s">
        <v>60</v>
      </c>
      <c r="D17" t="s">
        <v>58</v>
      </c>
      <c r="F17" t="s">
        <v>59</v>
      </c>
      <c r="G17" t="s">
        <v>61</v>
      </c>
    </row>
    <row r="18" spans="1:7" x14ac:dyDescent="0.25">
      <c r="A18" s="4"/>
      <c r="B18" s="25"/>
      <c r="C18" t="s">
        <v>56</v>
      </c>
      <c r="D18" t="s">
        <v>62</v>
      </c>
    </row>
    <row r="19" spans="1:7" x14ac:dyDescent="0.25">
      <c r="A19" s="4"/>
      <c r="B19" s="25"/>
      <c r="C19" t="s">
        <v>57</v>
      </c>
      <c r="D19" t="s">
        <v>63</v>
      </c>
    </row>
    <row r="20" spans="1:7" x14ac:dyDescent="0.25">
      <c r="C20" s="2" t="s">
        <v>18</v>
      </c>
    </row>
    <row r="21" spans="1:7" x14ac:dyDescent="0.25">
      <c r="C21" t="s">
        <v>34</v>
      </c>
      <c r="D21" s="2" t="s">
        <v>35</v>
      </c>
      <c r="E21" t="s">
        <v>15</v>
      </c>
      <c r="F21" s="2" t="s">
        <v>38</v>
      </c>
    </row>
    <row r="23" spans="1:7" x14ac:dyDescent="0.25">
      <c r="C23" t="s">
        <v>55</v>
      </c>
    </row>
    <row r="24" spans="1:7" ht="30" x14ac:dyDescent="0.25">
      <c r="A24" s="25" t="s">
        <v>19</v>
      </c>
      <c r="B24" s="4" t="s">
        <v>47</v>
      </c>
      <c r="C24" t="s">
        <v>45</v>
      </c>
      <c r="D24" s="2" t="s">
        <v>48</v>
      </c>
      <c r="F24" t="s">
        <v>50</v>
      </c>
    </row>
    <row r="25" spans="1:7" x14ac:dyDescent="0.25">
      <c r="A25" s="25"/>
      <c r="B25" s="4"/>
      <c r="C25" t="s">
        <v>52</v>
      </c>
      <c r="D25" s="2" t="s">
        <v>49</v>
      </c>
      <c r="F25" t="s">
        <v>50</v>
      </c>
    </row>
    <row r="26" spans="1:7" x14ac:dyDescent="0.25">
      <c r="A26" s="25"/>
      <c r="B26" s="4"/>
      <c r="C26" t="s">
        <v>118</v>
      </c>
      <c r="D26" s="2" t="s">
        <v>29</v>
      </c>
      <c r="F26" t="s">
        <v>50</v>
      </c>
    </row>
    <row r="27" spans="1:7" ht="60" x14ac:dyDescent="0.25">
      <c r="A27" s="25"/>
      <c r="B27" s="4" t="s">
        <v>51</v>
      </c>
      <c r="C27" t="s">
        <v>53</v>
      </c>
      <c r="D27" s="2" t="s">
        <v>54</v>
      </c>
      <c r="F27" t="s">
        <v>50</v>
      </c>
    </row>
    <row r="28" spans="1:7" x14ac:dyDescent="0.25">
      <c r="A28" s="25"/>
      <c r="B28" s="4"/>
    </row>
    <row r="29" spans="1:7" ht="75" x14ac:dyDescent="0.25">
      <c r="A29" s="25"/>
      <c r="B29" s="4" t="s">
        <v>298</v>
      </c>
      <c r="C29" s="19" t="s">
        <v>278</v>
      </c>
      <c r="D29" s="24" t="s">
        <v>302</v>
      </c>
      <c r="E29" s="19"/>
      <c r="F29" s="19"/>
      <c r="G29" s="19"/>
    </row>
    <row r="30" spans="1:7" x14ac:dyDescent="0.25">
      <c r="A30" s="25"/>
      <c r="B30" s="4"/>
      <c r="C30" s="17" t="s">
        <v>114</v>
      </c>
      <c r="D30" s="18" t="s">
        <v>197</v>
      </c>
      <c r="E30" s="17"/>
    </row>
    <row r="31" spans="1:7" x14ac:dyDescent="0.25">
      <c r="A31" s="25"/>
      <c r="B31" s="4"/>
      <c r="C31" s="1"/>
    </row>
    <row r="32" spans="1:7" x14ac:dyDescent="0.25">
      <c r="A32" s="25"/>
      <c r="B32" s="4"/>
    </row>
    <row r="34" spans="1:4" x14ac:dyDescent="0.25">
      <c r="A34" t="s">
        <v>281</v>
      </c>
    </row>
    <row r="35" spans="1:4" x14ac:dyDescent="0.25">
      <c r="B35" t="s">
        <v>109</v>
      </c>
      <c r="C35" t="s">
        <v>109</v>
      </c>
      <c r="D35" t="s">
        <v>299</v>
      </c>
    </row>
    <row r="36" spans="1:4" x14ac:dyDescent="0.25">
      <c r="C36" t="s">
        <v>300</v>
      </c>
      <c r="D36" s="2" t="s">
        <v>301</v>
      </c>
    </row>
  </sheetData>
  <mergeCells count="4">
    <mergeCell ref="A8:A16"/>
    <mergeCell ref="A24:A32"/>
    <mergeCell ref="A4:A5"/>
    <mergeCell ref="B12:B1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2E6E-CB07-4479-B7E9-8532F3AA88E2}">
  <dimension ref="A1:G13"/>
  <sheetViews>
    <sheetView workbookViewId="0">
      <selection activeCell="F6" sqref="F6"/>
    </sheetView>
  </sheetViews>
  <sheetFormatPr defaultRowHeight="15" x14ac:dyDescent="0.25"/>
  <cols>
    <col min="4" max="4" width="10" bestFit="1" customWidth="1"/>
  </cols>
  <sheetData>
    <row r="1" spans="1:7" x14ac:dyDescent="0.25">
      <c r="A1" t="s">
        <v>10</v>
      </c>
      <c r="B1" t="s">
        <v>70</v>
      </c>
      <c r="C1" t="s">
        <v>22</v>
      </c>
      <c r="D1" t="s">
        <v>21</v>
      </c>
      <c r="E1" t="s">
        <v>23</v>
      </c>
      <c r="F1" t="s">
        <v>3</v>
      </c>
      <c r="G1" t="s">
        <v>7</v>
      </c>
    </row>
    <row r="2" spans="1:7" x14ac:dyDescent="0.25">
      <c r="A2" t="s">
        <v>66</v>
      </c>
      <c r="B2" t="s">
        <v>67</v>
      </c>
      <c r="C2">
        <v>14</v>
      </c>
      <c r="D2">
        <f>10^3</f>
        <v>1000</v>
      </c>
      <c r="F2" t="s">
        <v>68</v>
      </c>
      <c r="G2" t="s">
        <v>69</v>
      </c>
    </row>
    <row r="3" spans="1:7" x14ac:dyDescent="0.25">
      <c r="A3" t="s">
        <v>66</v>
      </c>
      <c r="B3" t="s">
        <v>67</v>
      </c>
      <c r="C3">
        <f>2.3*10^3</f>
        <v>2300</v>
      </c>
      <c r="D3">
        <f>2.4*10^4</f>
        <v>24000</v>
      </c>
      <c r="F3" t="s">
        <v>71</v>
      </c>
      <c r="G3" t="s">
        <v>72</v>
      </c>
    </row>
    <row r="4" spans="1:7" x14ac:dyDescent="0.25">
      <c r="A4" t="s">
        <v>73</v>
      </c>
      <c r="B4" t="s">
        <v>74</v>
      </c>
      <c r="C4">
        <f>10^6/100</f>
        <v>10000</v>
      </c>
      <c r="D4">
        <f>10^8/100</f>
        <v>1000000</v>
      </c>
      <c r="F4" t="s">
        <v>77</v>
      </c>
      <c r="G4" t="s">
        <v>75</v>
      </c>
    </row>
    <row r="5" spans="1:7" x14ac:dyDescent="0.25">
      <c r="A5" t="s">
        <v>73</v>
      </c>
      <c r="B5" t="s">
        <v>76</v>
      </c>
      <c r="C5">
        <f>8.7*10^3</f>
        <v>8700</v>
      </c>
      <c r="D5">
        <f>1.08*10^7</f>
        <v>10800000</v>
      </c>
      <c r="F5" t="s">
        <v>78</v>
      </c>
      <c r="G5" t="s">
        <v>72</v>
      </c>
    </row>
    <row r="6" spans="1:7" x14ac:dyDescent="0.25">
      <c r="A6" t="s">
        <v>73</v>
      </c>
      <c r="B6" t="s">
        <v>282</v>
      </c>
      <c r="E6">
        <f>1.84*10^4</f>
        <v>18400</v>
      </c>
      <c r="F6" t="s">
        <v>283</v>
      </c>
      <c r="G6" t="s">
        <v>284</v>
      </c>
    </row>
    <row r="7" spans="1:7" x14ac:dyDescent="0.25">
      <c r="A7" t="s">
        <v>127</v>
      </c>
      <c r="B7" t="s">
        <v>287</v>
      </c>
      <c r="C7">
        <f>10^6</f>
        <v>1000000</v>
      </c>
      <c r="D7">
        <f>10^8</f>
        <v>100000000</v>
      </c>
      <c r="F7" t="s">
        <v>288</v>
      </c>
      <c r="G7" t="s">
        <v>75</v>
      </c>
    </row>
    <row r="8" spans="1:7" x14ac:dyDescent="0.25">
      <c r="A8" t="s">
        <v>127</v>
      </c>
      <c r="B8" t="s">
        <v>76</v>
      </c>
      <c r="C8">
        <f>5*10^4</f>
        <v>50000</v>
      </c>
      <c r="D8">
        <f>3.7*10^5</f>
        <v>370000</v>
      </c>
      <c r="F8" t="s">
        <v>78</v>
      </c>
      <c r="G8" t="s">
        <v>72</v>
      </c>
    </row>
    <row r="9" spans="1:7" x14ac:dyDescent="0.25">
      <c r="A9" t="s">
        <v>115</v>
      </c>
      <c r="B9" t="s">
        <v>282</v>
      </c>
      <c r="C9">
        <v>0.1</v>
      </c>
      <c r="D9">
        <v>1</v>
      </c>
      <c r="F9" t="s">
        <v>119</v>
      </c>
      <c r="G9" t="s">
        <v>285</v>
      </c>
    </row>
    <row r="10" spans="1:7" x14ac:dyDescent="0.25">
      <c r="A10" t="s">
        <v>115</v>
      </c>
      <c r="B10" t="s">
        <v>67</v>
      </c>
      <c r="C10">
        <v>10</v>
      </c>
      <c r="D10">
        <v>15</v>
      </c>
      <c r="F10" t="s">
        <v>119</v>
      </c>
      <c r="G10" t="s">
        <v>72</v>
      </c>
    </row>
    <row r="11" spans="1:7" x14ac:dyDescent="0.25">
      <c r="A11" t="s">
        <v>115</v>
      </c>
      <c r="B11" t="s">
        <v>67</v>
      </c>
      <c r="C11">
        <v>0.1</v>
      </c>
      <c r="D11">
        <v>10</v>
      </c>
      <c r="F11" t="s">
        <v>119</v>
      </c>
      <c r="G11" t="s">
        <v>286</v>
      </c>
    </row>
    <row r="12" spans="1:7" x14ac:dyDescent="0.25">
      <c r="A12" t="s">
        <v>116</v>
      </c>
      <c r="B12" t="s">
        <v>67</v>
      </c>
      <c r="C12">
        <v>0.1</v>
      </c>
      <c r="D12">
        <v>142</v>
      </c>
      <c r="F12" t="s">
        <v>119</v>
      </c>
      <c r="G12" t="s">
        <v>69</v>
      </c>
    </row>
    <row r="13" spans="1:7" x14ac:dyDescent="0.25">
      <c r="A13" t="s">
        <v>120</v>
      </c>
      <c r="B13" t="s">
        <v>67</v>
      </c>
      <c r="C13">
        <f>10^2</f>
        <v>100</v>
      </c>
      <c r="D13">
        <f>10^4</f>
        <v>10000</v>
      </c>
      <c r="F13" t="s">
        <v>121</v>
      </c>
      <c r="G13" t="s">
        <v>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CA1D-F44C-4D19-9BF6-437671A3921C}">
  <dimension ref="A1:K10"/>
  <sheetViews>
    <sheetView workbookViewId="0">
      <selection activeCell="G29" sqref="G29"/>
    </sheetView>
  </sheetViews>
  <sheetFormatPr defaultRowHeight="15" x14ac:dyDescent="0.25"/>
  <sheetData>
    <row r="1" spans="1:11" x14ac:dyDescent="0.25">
      <c r="A1" t="s">
        <v>7</v>
      </c>
      <c r="B1" t="s">
        <v>40</v>
      </c>
      <c r="C1" t="s">
        <v>82</v>
      </c>
      <c r="D1" t="s">
        <v>86</v>
      </c>
      <c r="E1" t="s">
        <v>25</v>
      </c>
      <c r="F1" t="s">
        <v>22</v>
      </c>
      <c r="G1" t="s">
        <v>21</v>
      </c>
      <c r="H1" t="s">
        <v>23</v>
      </c>
      <c r="I1" t="s">
        <v>24</v>
      </c>
      <c r="J1" t="s">
        <v>3</v>
      </c>
      <c r="K1" t="s">
        <v>7</v>
      </c>
    </row>
    <row r="2" spans="1:11" x14ac:dyDescent="0.25">
      <c r="A2" t="s">
        <v>83</v>
      </c>
      <c r="B2" t="s">
        <v>65</v>
      </c>
      <c r="C2" t="s">
        <v>84</v>
      </c>
      <c r="E2" t="s">
        <v>80</v>
      </c>
      <c r="F2">
        <v>1</v>
      </c>
      <c r="G2">
        <v>2</v>
      </c>
      <c r="J2" t="s">
        <v>85</v>
      </c>
      <c r="K2" t="s">
        <v>89</v>
      </c>
    </row>
    <row r="3" spans="1:11" x14ac:dyDescent="0.25">
      <c r="A3" t="s">
        <v>83</v>
      </c>
      <c r="B3" t="s">
        <v>65</v>
      </c>
      <c r="C3" t="s">
        <v>84</v>
      </c>
      <c r="D3" t="s">
        <v>87</v>
      </c>
      <c r="E3" t="s">
        <v>80</v>
      </c>
      <c r="F3">
        <v>500</v>
      </c>
      <c r="G3">
        <v>800</v>
      </c>
      <c r="J3" t="s">
        <v>88</v>
      </c>
      <c r="K3" t="s">
        <v>89</v>
      </c>
    </row>
    <row r="4" spans="1:11" x14ac:dyDescent="0.25">
      <c r="A4" t="s">
        <v>90</v>
      </c>
      <c r="B4" t="s">
        <v>65</v>
      </c>
      <c r="C4" t="s">
        <v>122</v>
      </c>
      <c r="E4" t="s">
        <v>80</v>
      </c>
      <c r="H4">
        <v>10</v>
      </c>
      <c r="J4" t="s">
        <v>15</v>
      </c>
      <c r="K4" t="s">
        <v>289</v>
      </c>
    </row>
    <row r="5" spans="1:11" x14ac:dyDescent="0.25">
      <c r="A5" t="s">
        <v>90</v>
      </c>
      <c r="B5" t="s">
        <v>65</v>
      </c>
      <c r="C5" t="s">
        <v>94</v>
      </c>
      <c r="D5" t="s">
        <v>87</v>
      </c>
      <c r="E5" t="s">
        <v>80</v>
      </c>
      <c r="H5">
        <v>3.5</v>
      </c>
      <c r="J5" t="s">
        <v>292</v>
      </c>
      <c r="K5" t="s">
        <v>291</v>
      </c>
    </row>
    <row r="6" spans="1:11" x14ac:dyDescent="0.25">
      <c r="A6" t="s">
        <v>90</v>
      </c>
      <c r="B6" t="s">
        <v>65</v>
      </c>
      <c r="C6" t="s">
        <v>91</v>
      </c>
      <c r="D6" t="s">
        <v>87</v>
      </c>
      <c r="E6" t="s">
        <v>81</v>
      </c>
      <c r="H6">
        <v>37</v>
      </c>
      <c r="I6">
        <v>58</v>
      </c>
      <c r="J6" t="s">
        <v>290</v>
      </c>
      <c r="K6" t="s">
        <v>92</v>
      </c>
    </row>
    <row r="7" spans="1:11" x14ac:dyDescent="0.25">
      <c r="A7" t="s">
        <v>90</v>
      </c>
      <c r="B7" t="s">
        <v>65</v>
      </c>
      <c r="C7" t="s">
        <v>91</v>
      </c>
      <c r="E7" t="s">
        <v>81</v>
      </c>
      <c r="H7">
        <v>30</v>
      </c>
      <c r="J7" t="s">
        <v>93</v>
      </c>
      <c r="K7" t="s">
        <v>289</v>
      </c>
    </row>
    <row r="8" spans="1:11" x14ac:dyDescent="0.25">
      <c r="A8" t="s">
        <v>90</v>
      </c>
      <c r="B8" t="s">
        <v>65</v>
      </c>
      <c r="C8" t="s">
        <v>123</v>
      </c>
      <c r="D8" t="s">
        <v>294</v>
      </c>
      <c r="E8" t="s">
        <v>81</v>
      </c>
      <c r="F8">
        <v>0</v>
      </c>
      <c r="G8">
        <v>4.5999999999999996</v>
      </c>
      <c r="J8" t="s">
        <v>293</v>
      </c>
      <c r="K8" t="s">
        <v>124</v>
      </c>
    </row>
    <row r="9" spans="1:11" x14ac:dyDescent="0.25">
      <c r="A9" t="s">
        <v>90</v>
      </c>
      <c r="B9" t="s">
        <v>65</v>
      </c>
      <c r="C9" t="s">
        <v>123</v>
      </c>
      <c r="D9" t="s">
        <v>294</v>
      </c>
      <c r="E9" t="s">
        <v>80</v>
      </c>
      <c r="F9">
        <v>0</v>
      </c>
      <c r="G9">
        <v>6.8000000000000005E-2</v>
      </c>
      <c r="J9" t="s">
        <v>293</v>
      </c>
      <c r="K9" t="s">
        <v>124</v>
      </c>
    </row>
    <row r="10" spans="1:11" x14ac:dyDescent="0.25">
      <c r="A10" t="s">
        <v>90</v>
      </c>
      <c r="B10" t="s">
        <v>65</v>
      </c>
      <c r="C10" t="s">
        <v>125</v>
      </c>
      <c r="E10" t="s">
        <v>80</v>
      </c>
      <c r="H10">
        <v>30</v>
      </c>
      <c r="J10" t="s">
        <v>93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F8-74E0-45F0-A7D6-9717C3F9EA1C}">
  <dimension ref="A1:H11"/>
  <sheetViews>
    <sheetView workbookViewId="0">
      <selection activeCell="D15" sqref="D15"/>
    </sheetView>
  </sheetViews>
  <sheetFormatPr defaultRowHeight="15" x14ac:dyDescent="0.25"/>
  <sheetData>
    <row r="1" spans="1:8" x14ac:dyDescent="0.25">
      <c r="A1" t="s">
        <v>26</v>
      </c>
      <c r="B1" t="s">
        <v>10</v>
      </c>
      <c r="C1" t="s">
        <v>27</v>
      </c>
      <c r="D1" t="s">
        <v>28</v>
      </c>
      <c r="E1" t="s">
        <v>29</v>
      </c>
      <c r="F1" t="s">
        <v>54</v>
      </c>
    </row>
    <row r="2" spans="1:8" x14ac:dyDescent="0.25">
      <c r="A2" t="s">
        <v>112</v>
      </c>
      <c r="B2" t="s">
        <v>73</v>
      </c>
      <c r="C2">
        <v>0.2099</v>
      </c>
      <c r="E2">
        <v>1120</v>
      </c>
      <c r="G2" t="s">
        <v>110</v>
      </c>
    </row>
    <row r="3" spans="1:8" x14ac:dyDescent="0.25">
      <c r="A3" t="s">
        <v>112</v>
      </c>
      <c r="B3" t="s">
        <v>66</v>
      </c>
      <c r="C3">
        <v>0.14499999999999999</v>
      </c>
      <c r="D3">
        <v>7.58</v>
      </c>
      <c r="E3">
        <v>896</v>
      </c>
      <c r="G3" t="s">
        <v>110</v>
      </c>
      <c r="H3" t="s">
        <v>295</v>
      </c>
    </row>
    <row r="4" spans="1:8" x14ac:dyDescent="0.25">
      <c r="A4" t="s">
        <v>112</v>
      </c>
      <c r="B4" t="s">
        <v>113</v>
      </c>
      <c r="C4">
        <v>0.25309999999999999</v>
      </c>
      <c r="D4">
        <v>0.42599999999999999</v>
      </c>
      <c r="E4">
        <v>6.17</v>
      </c>
      <c r="G4" t="s">
        <v>110</v>
      </c>
      <c r="H4" t="s">
        <v>295</v>
      </c>
    </row>
    <row r="8" spans="1:8" x14ac:dyDescent="0.25">
      <c r="A8" t="s">
        <v>114</v>
      </c>
      <c r="B8" t="s">
        <v>115</v>
      </c>
      <c r="F8">
        <v>4.0000000000000001E-3</v>
      </c>
      <c r="G8" t="s">
        <v>110</v>
      </c>
    </row>
    <row r="9" spans="1:8" x14ac:dyDescent="0.25">
      <c r="A9" t="s">
        <v>114</v>
      </c>
      <c r="B9" t="s">
        <v>115</v>
      </c>
      <c r="F9">
        <v>5.8999999999999997E-2</v>
      </c>
      <c r="G9" t="s">
        <v>295</v>
      </c>
    </row>
    <row r="10" spans="1:8" x14ac:dyDescent="0.25">
      <c r="A10" t="s">
        <v>114</v>
      </c>
      <c r="B10" t="s">
        <v>116</v>
      </c>
      <c r="F10">
        <v>1.9900000000000001E-2</v>
      </c>
      <c r="G10" t="s">
        <v>110</v>
      </c>
    </row>
    <row r="11" spans="1:8" x14ac:dyDescent="0.25">
      <c r="A11" t="s">
        <v>114</v>
      </c>
      <c r="B11" t="s">
        <v>117</v>
      </c>
      <c r="F1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1E7C-73F7-4A51-B111-5F66C724A695}">
  <dimension ref="A1:P11"/>
  <sheetViews>
    <sheetView workbookViewId="0">
      <selection activeCell="M32" sqref="M32"/>
    </sheetView>
  </sheetViews>
  <sheetFormatPr defaultRowHeight="15" x14ac:dyDescent="0.25"/>
  <cols>
    <col min="7" max="7" width="19.28515625" bestFit="1" customWidth="1"/>
    <col min="8" max="8" width="21" bestFit="1" customWidth="1"/>
  </cols>
  <sheetData>
    <row r="1" spans="1:16" x14ac:dyDescent="0.25">
      <c r="A1" t="s">
        <v>65</v>
      </c>
      <c r="C1" t="s">
        <v>20</v>
      </c>
      <c r="E1" t="s">
        <v>100</v>
      </c>
      <c r="F1" t="s">
        <v>95</v>
      </c>
      <c r="J1" t="s">
        <v>18</v>
      </c>
      <c r="K1" t="s">
        <v>103</v>
      </c>
      <c r="O1" t="s">
        <v>107</v>
      </c>
    </row>
    <row r="2" spans="1:16" x14ac:dyDescent="0.25">
      <c r="E2" t="s">
        <v>96</v>
      </c>
      <c r="F2" t="s">
        <v>97</v>
      </c>
      <c r="G2" t="s">
        <v>98</v>
      </c>
      <c r="H2" t="s">
        <v>99</v>
      </c>
      <c r="K2" t="s">
        <v>104</v>
      </c>
    </row>
    <row r="3" spans="1:16" x14ac:dyDescent="0.25">
      <c r="G3" t="s">
        <v>101</v>
      </c>
      <c r="H3" t="s">
        <v>102</v>
      </c>
      <c r="K3" t="s">
        <v>105</v>
      </c>
      <c r="L3" t="s">
        <v>106</v>
      </c>
      <c r="M3" t="s">
        <v>29</v>
      </c>
      <c r="N3" t="s">
        <v>111</v>
      </c>
      <c r="O3" t="s">
        <v>108</v>
      </c>
      <c r="P3" t="s">
        <v>109</v>
      </c>
    </row>
    <row r="4" spans="1:16" x14ac:dyDescent="0.25">
      <c r="A4" t="s">
        <v>66</v>
      </c>
      <c r="B4" t="s">
        <v>160</v>
      </c>
      <c r="C4">
        <v>14</v>
      </c>
      <c r="G4">
        <v>10</v>
      </c>
      <c r="H4">
        <v>30</v>
      </c>
      <c r="J4">
        <f>C4 /1000*H4</f>
        <v>0.42</v>
      </c>
      <c r="K4">
        <v>0.14499999999999999</v>
      </c>
      <c r="M4">
        <v>896</v>
      </c>
      <c r="N4">
        <f>1-(1+(J4/M4)*(2^(1/K4)-1))^(-1*K4)</f>
        <v>7.7851098575718591E-3</v>
      </c>
      <c r="O4">
        <v>4</v>
      </c>
      <c r="P4">
        <f>1-(1-N4)^O4</f>
        <v>3.0778675501743069E-2</v>
      </c>
    </row>
    <row r="5" spans="1:16" x14ac:dyDescent="0.25">
      <c r="B5" t="s">
        <v>133</v>
      </c>
      <c r="C5">
        <f>10^3</f>
        <v>1000</v>
      </c>
      <c r="J5">
        <f>C5 /1000*H4</f>
        <v>30</v>
      </c>
      <c r="K5">
        <v>0.14499999999999999</v>
      </c>
      <c r="M5">
        <v>896</v>
      </c>
      <c r="N5">
        <f>1-(1+J5/M5*(2^(1/K5)-1))^-K5</f>
        <v>0.20711542215916856</v>
      </c>
      <c r="O5">
        <v>4</v>
      </c>
      <c r="P5">
        <f>1-(1-N5)^O5</f>
        <v>0.60477911856060684</v>
      </c>
    </row>
    <row r="9" spans="1:16" x14ac:dyDescent="0.25">
      <c r="M9">
        <f>J4/M4</f>
        <v>4.6874999999999998E-4</v>
      </c>
    </row>
    <row r="10" spans="1:16" x14ac:dyDescent="0.25">
      <c r="M10">
        <f>2^(1/K4)</f>
        <v>119.14311090175811</v>
      </c>
    </row>
    <row r="11" spans="1:16" x14ac:dyDescent="0.25">
      <c r="M11">
        <f>(1+M9*M10-1)^(-1*K4)</f>
        <v>1.5194398719366804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8D86-03C3-4CDD-80CD-56AA1A3539C8}">
  <dimension ref="A1:W30"/>
  <sheetViews>
    <sheetView tabSelected="1" workbookViewId="0">
      <selection activeCell="P28" sqref="P28"/>
    </sheetView>
  </sheetViews>
  <sheetFormatPr defaultRowHeight="15" x14ac:dyDescent="0.25"/>
  <cols>
    <col min="3" max="3" width="5.5703125" customWidth="1"/>
    <col min="4" max="4" width="19.28515625" customWidth="1"/>
    <col min="9" max="9" width="22.5703125" customWidth="1"/>
  </cols>
  <sheetData>
    <row r="1" spans="1:23" x14ac:dyDescent="0.25">
      <c r="E1" s="5"/>
      <c r="F1" s="6" t="s">
        <v>135</v>
      </c>
      <c r="G1" s="6"/>
      <c r="H1" s="39" t="s">
        <v>100</v>
      </c>
      <c r="I1" s="41"/>
      <c r="J1" s="41"/>
      <c r="K1" s="41"/>
      <c r="L1" s="41"/>
      <c r="M1" s="42"/>
      <c r="N1" s="41" t="s">
        <v>103</v>
      </c>
      <c r="O1" s="41"/>
      <c r="P1" s="41"/>
      <c r="Q1" s="41"/>
      <c r="R1" s="41"/>
      <c r="S1" s="41"/>
      <c r="T1" s="41"/>
      <c r="U1" s="41" t="s">
        <v>169</v>
      </c>
      <c r="V1" s="41"/>
      <c r="W1" s="41"/>
    </row>
    <row r="2" spans="1:23" x14ac:dyDescent="0.25">
      <c r="A2" s="7" t="s">
        <v>7</v>
      </c>
      <c r="B2" s="8" t="s">
        <v>175</v>
      </c>
      <c r="C2" s="9" t="s">
        <v>176</v>
      </c>
      <c r="D2" s="9" t="s">
        <v>79</v>
      </c>
      <c r="E2" s="8" t="s">
        <v>177</v>
      </c>
      <c r="F2" s="8" t="s">
        <v>10</v>
      </c>
      <c r="G2" s="10" t="s">
        <v>7</v>
      </c>
      <c r="H2" s="8" t="s">
        <v>36</v>
      </c>
      <c r="I2" s="8" t="s">
        <v>5</v>
      </c>
      <c r="J2" s="8" t="s">
        <v>178</v>
      </c>
      <c r="K2" s="8" t="s">
        <v>3</v>
      </c>
      <c r="L2" s="8" t="s">
        <v>179</v>
      </c>
      <c r="M2" s="8" t="s">
        <v>131</v>
      </c>
      <c r="N2" s="10"/>
      <c r="O2" s="10"/>
      <c r="P2" s="10" t="s">
        <v>36</v>
      </c>
      <c r="Q2" s="10" t="s">
        <v>5</v>
      </c>
      <c r="R2" s="10" t="s">
        <v>179</v>
      </c>
      <c r="S2" s="10" t="s">
        <v>131</v>
      </c>
      <c r="T2" s="10"/>
      <c r="U2" s="10" t="s">
        <v>36</v>
      </c>
      <c r="V2" s="10" t="s">
        <v>5</v>
      </c>
      <c r="W2" s="10" t="s">
        <v>131</v>
      </c>
    </row>
    <row r="3" spans="1:23" ht="28.9" customHeight="1" x14ac:dyDescent="0.25">
      <c r="A3" s="27" t="s">
        <v>180</v>
      </c>
      <c r="B3" s="30" t="s">
        <v>181</v>
      </c>
      <c r="C3" s="43" t="s">
        <v>182</v>
      </c>
      <c r="D3" s="29" t="s">
        <v>183</v>
      </c>
      <c r="E3" s="30" t="s">
        <v>184</v>
      </c>
      <c r="F3" s="11" t="s">
        <v>73</v>
      </c>
      <c r="G3" s="26" t="s">
        <v>185</v>
      </c>
      <c r="H3" s="12" t="s">
        <v>35</v>
      </c>
      <c r="I3" s="12" t="s">
        <v>18</v>
      </c>
      <c r="J3" s="12"/>
      <c r="K3" s="12"/>
      <c r="L3" s="12"/>
      <c r="M3" s="12" t="s">
        <v>138</v>
      </c>
      <c r="P3" s="2" t="s">
        <v>161</v>
      </c>
      <c r="Q3" s="2" t="s">
        <v>186</v>
      </c>
      <c r="R3" s="2" t="s">
        <v>187</v>
      </c>
      <c r="S3" t="s">
        <v>163</v>
      </c>
      <c r="U3" s="2" t="s">
        <v>173</v>
      </c>
      <c r="V3" t="s">
        <v>174</v>
      </c>
      <c r="W3" t="s">
        <v>188</v>
      </c>
    </row>
    <row r="4" spans="1:23" x14ac:dyDescent="0.25">
      <c r="A4" s="27"/>
      <c r="B4" s="30"/>
      <c r="C4" s="44"/>
      <c r="D4" s="30"/>
      <c r="E4" s="30"/>
      <c r="F4" s="11" t="s">
        <v>66</v>
      </c>
      <c r="G4" s="27"/>
      <c r="H4" s="12" t="s">
        <v>13</v>
      </c>
      <c r="I4" s="12" t="s">
        <v>139</v>
      </c>
      <c r="J4" s="12"/>
      <c r="K4" s="12"/>
      <c r="L4" s="11"/>
      <c r="M4" s="12" t="s">
        <v>140</v>
      </c>
      <c r="P4" t="s">
        <v>165</v>
      </c>
      <c r="Q4" t="s">
        <v>166</v>
      </c>
    </row>
    <row r="5" spans="1:23" x14ac:dyDescent="0.25">
      <c r="A5" s="27"/>
      <c r="B5" s="30"/>
      <c r="C5" s="44"/>
      <c r="D5" s="30"/>
      <c r="E5" s="30"/>
      <c r="F5" s="11" t="s">
        <v>189</v>
      </c>
      <c r="G5" s="27"/>
      <c r="H5" s="11" t="s">
        <v>41</v>
      </c>
      <c r="I5" s="11" t="s">
        <v>141</v>
      </c>
      <c r="J5" s="11" t="s">
        <v>190</v>
      </c>
      <c r="K5" s="11" t="s">
        <v>15</v>
      </c>
      <c r="L5" s="11" t="s">
        <v>191</v>
      </c>
      <c r="M5" s="11"/>
      <c r="P5" t="s">
        <v>48</v>
      </c>
      <c r="Q5" t="s">
        <v>167</v>
      </c>
      <c r="S5" t="s">
        <v>192</v>
      </c>
    </row>
    <row r="6" spans="1:23" x14ac:dyDescent="0.25">
      <c r="A6" s="27"/>
      <c r="B6" s="30"/>
      <c r="C6" s="44"/>
      <c r="D6" s="30"/>
      <c r="E6" s="30"/>
      <c r="F6" s="11" t="s">
        <v>193</v>
      </c>
      <c r="G6" s="27"/>
      <c r="H6" s="11" t="s">
        <v>42</v>
      </c>
      <c r="I6" s="11" t="s">
        <v>143</v>
      </c>
      <c r="J6" s="11">
        <v>25</v>
      </c>
      <c r="K6" s="11" t="s">
        <v>15</v>
      </c>
      <c r="L6" s="11" t="s">
        <v>194</v>
      </c>
      <c r="M6" s="11"/>
      <c r="P6" t="s">
        <v>49</v>
      </c>
      <c r="Q6" t="s">
        <v>168</v>
      </c>
      <c r="S6" t="s">
        <v>192</v>
      </c>
    </row>
    <row r="7" spans="1:23" x14ac:dyDescent="0.25">
      <c r="A7" s="27"/>
      <c r="B7" s="30"/>
      <c r="C7" s="44"/>
      <c r="D7" s="30"/>
      <c r="E7" s="30"/>
      <c r="F7" s="11"/>
      <c r="G7" s="27"/>
      <c r="H7" s="11" t="s">
        <v>62</v>
      </c>
      <c r="I7" s="11" t="s">
        <v>159</v>
      </c>
      <c r="J7" s="11"/>
      <c r="K7" s="11" t="s">
        <v>160</v>
      </c>
      <c r="L7" s="11" t="s">
        <v>195</v>
      </c>
      <c r="M7" s="11"/>
      <c r="P7" t="s">
        <v>196</v>
      </c>
    </row>
    <row r="8" spans="1:23" x14ac:dyDescent="0.25">
      <c r="A8" s="27"/>
      <c r="B8" s="30"/>
      <c r="C8" s="44"/>
      <c r="D8" s="30"/>
      <c r="E8" s="30"/>
      <c r="F8" s="11"/>
      <c r="G8" s="27"/>
      <c r="H8" s="11" t="s">
        <v>58</v>
      </c>
      <c r="I8" s="11" t="s">
        <v>145</v>
      </c>
      <c r="J8" s="11"/>
      <c r="K8" s="11"/>
      <c r="L8" s="11"/>
      <c r="M8" s="11" t="s">
        <v>146</v>
      </c>
      <c r="P8" s="2" t="s">
        <v>161</v>
      </c>
      <c r="Q8" s="2" t="s">
        <v>186</v>
      </c>
      <c r="R8" s="2"/>
      <c r="S8" s="2" t="s">
        <v>197</v>
      </c>
      <c r="T8" s="2"/>
    </row>
    <row r="9" spans="1:23" x14ac:dyDescent="0.25">
      <c r="A9" s="27"/>
      <c r="B9" s="30"/>
      <c r="C9" s="44"/>
      <c r="D9" s="30"/>
      <c r="E9" s="30"/>
      <c r="F9" s="11"/>
      <c r="G9" s="27"/>
      <c r="H9" s="11" t="s">
        <v>148</v>
      </c>
      <c r="I9" s="11" t="s">
        <v>149</v>
      </c>
      <c r="J9" s="11" t="s">
        <v>198</v>
      </c>
      <c r="K9" s="13" t="s">
        <v>152</v>
      </c>
      <c r="L9" s="11" t="s">
        <v>199</v>
      </c>
      <c r="M9" s="11"/>
      <c r="P9" t="s">
        <v>54</v>
      </c>
      <c r="Q9" t="s">
        <v>200</v>
      </c>
      <c r="S9" t="s">
        <v>192</v>
      </c>
    </row>
    <row r="10" spans="1:23" x14ac:dyDescent="0.25">
      <c r="A10" s="27"/>
      <c r="B10" s="30"/>
      <c r="C10" s="44"/>
      <c r="D10" s="30"/>
      <c r="E10" s="30"/>
      <c r="F10" s="11"/>
      <c r="G10" s="27"/>
      <c r="H10" s="11" t="s">
        <v>48</v>
      </c>
      <c r="I10" s="11" t="s">
        <v>154</v>
      </c>
      <c r="J10" s="11" t="s">
        <v>201</v>
      </c>
      <c r="K10" s="11" t="s">
        <v>155</v>
      </c>
      <c r="L10" s="11" t="s">
        <v>199</v>
      </c>
      <c r="M10" s="11"/>
      <c r="P10" s="2" t="s">
        <v>170</v>
      </c>
      <c r="Q10" t="s">
        <v>171</v>
      </c>
      <c r="R10" t="s">
        <v>202</v>
      </c>
      <c r="S10" t="s">
        <v>172</v>
      </c>
    </row>
    <row r="11" spans="1:23" x14ac:dyDescent="0.25">
      <c r="A11" s="28"/>
      <c r="B11" s="31"/>
      <c r="C11" s="45"/>
      <c r="D11" s="31"/>
      <c r="E11" s="31"/>
      <c r="F11" s="8"/>
      <c r="G11" s="28"/>
      <c r="H11" s="8" t="s">
        <v>63</v>
      </c>
      <c r="I11" s="8" t="s">
        <v>156</v>
      </c>
      <c r="J11" s="8">
        <v>2</v>
      </c>
      <c r="K11" s="8" t="s">
        <v>157</v>
      </c>
      <c r="L11" s="8" t="s">
        <v>203</v>
      </c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6" t="s">
        <v>204</v>
      </c>
      <c r="B12" s="32" t="s">
        <v>205</v>
      </c>
      <c r="C12" s="38" t="s">
        <v>206</v>
      </c>
      <c r="D12" s="29" t="s">
        <v>207</v>
      </c>
      <c r="E12" s="29" t="s">
        <v>208</v>
      </c>
      <c r="F12" s="11" t="s">
        <v>73</v>
      </c>
      <c r="G12" t="s">
        <v>209</v>
      </c>
      <c r="H12" s="11" t="s">
        <v>210</v>
      </c>
      <c r="I12" s="11" t="s">
        <v>139</v>
      </c>
      <c r="J12" s="11"/>
      <c r="K12" s="11"/>
      <c r="L12" s="11"/>
      <c r="M12" s="11"/>
      <c r="P12" s="2" t="s">
        <v>211</v>
      </c>
      <c r="Q12" t="s">
        <v>212</v>
      </c>
      <c r="R12" t="s">
        <v>213</v>
      </c>
      <c r="S12" t="s">
        <v>164</v>
      </c>
      <c r="V12" t="s">
        <v>214</v>
      </c>
    </row>
    <row r="13" spans="1:23" x14ac:dyDescent="0.25">
      <c r="A13" s="27"/>
      <c r="B13" s="33"/>
      <c r="C13" s="39"/>
      <c r="D13" s="30"/>
      <c r="E13" s="30"/>
      <c r="F13" s="11" t="s">
        <v>215</v>
      </c>
      <c r="G13" t="s">
        <v>216</v>
      </c>
      <c r="H13" s="11"/>
      <c r="I13" s="11" t="s">
        <v>217</v>
      </c>
      <c r="J13" s="14" t="s">
        <v>218</v>
      </c>
      <c r="K13" s="11" t="s">
        <v>219</v>
      </c>
      <c r="L13" s="11" t="s">
        <v>199</v>
      </c>
      <c r="M13" s="11"/>
      <c r="P13" t="s">
        <v>220</v>
      </c>
      <c r="Q13" t="s">
        <v>221</v>
      </c>
      <c r="R13" s="2" t="s">
        <v>222</v>
      </c>
      <c r="S13" t="s">
        <v>192</v>
      </c>
      <c r="U13" t="s">
        <v>96</v>
      </c>
    </row>
    <row r="14" spans="1:23" x14ac:dyDescent="0.25">
      <c r="A14" s="27"/>
      <c r="B14" s="33"/>
      <c r="C14" s="39"/>
      <c r="D14" s="30"/>
      <c r="E14" s="30"/>
      <c r="F14" s="11"/>
      <c r="H14" s="11"/>
      <c r="I14" s="11" t="s">
        <v>96</v>
      </c>
      <c r="J14" s="11" t="s">
        <v>223</v>
      </c>
      <c r="K14" s="11" t="s">
        <v>15</v>
      </c>
      <c r="L14" s="11" t="s">
        <v>199</v>
      </c>
      <c r="M14" s="11"/>
      <c r="P14" t="s">
        <v>224</v>
      </c>
      <c r="Q14" t="s">
        <v>221</v>
      </c>
      <c r="S14" t="s">
        <v>192</v>
      </c>
      <c r="U14" t="s">
        <v>217</v>
      </c>
    </row>
    <row r="15" spans="1:23" x14ac:dyDescent="0.25">
      <c r="A15" s="27"/>
      <c r="B15" s="33"/>
      <c r="C15" s="39"/>
      <c r="D15" s="30"/>
      <c r="E15" s="30"/>
      <c r="F15" s="11"/>
      <c r="H15" s="11" t="s">
        <v>35</v>
      </c>
      <c r="I15" s="11" t="s">
        <v>18</v>
      </c>
      <c r="J15" s="11"/>
      <c r="K15" s="11"/>
      <c r="L15" s="11" t="s">
        <v>225</v>
      </c>
      <c r="M15" s="11" t="s">
        <v>226</v>
      </c>
      <c r="U15" t="s">
        <v>227</v>
      </c>
    </row>
    <row r="16" spans="1:23" x14ac:dyDescent="0.25">
      <c r="A16" s="28"/>
      <c r="B16" s="34"/>
      <c r="C16" s="40"/>
      <c r="D16" s="31"/>
      <c r="E16" s="31"/>
      <c r="F16" s="8"/>
      <c r="G16" s="10"/>
      <c r="H16" s="8" t="s">
        <v>62</v>
      </c>
      <c r="I16" s="8" t="s">
        <v>228</v>
      </c>
      <c r="J16" s="8"/>
      <c r="K16" s="8" t="s">
        <v>229</v>
      </c>
      <c r="L16" s="8"/>
      <c r="M16" s="8"/>
      <c r="N16" s="10"/>
      <c r="O16" s="10"/>
      <c r="P16" s="10"/>
      <c r="Q16" s="10"/>
      <c r="R16" s="10"/>
      <c r="S16" s="10"/>
      <c r="T16" s="10"/>
      <c r="U16" s="10" t="s">
        <v>230</v>
      </c>
      <c r="V16" s="10" t="s">
        <v>231</v>
      </c>
      <c r="W16" s="10" t="s">
        <v>232</v>
      </c>
    </row>
    <row r="17" spans="1:23" x14ac:dyDescent="0.25">
      <c r="A17" s="26" t="s">
        <v>89</v>
      </c>
      <c r="B17" s="29" t="s">
        <v>233</v>
      </c>
      <c r="C17" s="29" t="s">
        <v>182</v>
      </c>
      <c r="D17" s="29" t="s">
        <v>183</v>
      </c>
      <c r="E17" s="29" t="s">
        <v>234</v>
      </c>
      <c r="F17" s="11" t="s">
        <v>73</v>
      </c>
      <c r="H17" s="11" t="s">
        <v>235</v>
      </c>
      <c r="I17" s="11" t="s">
        <v>236</v>
      </c>
      <c r="J17" s="11"/>
      <c r="K17" s="11"/>
      <c r="L17" s="11"/>
      <c r="M17" s="11"/>
      <c r="P17" t="s">
        <v>237</v>
      </c>
      <c r="U17" t="s">
        <v>238</v>
      </c>
    </row>
    <row r="18" spans="1:23" x14ac:dyDescent="0.25">
      <c r="A18" s="27"/>
      <c r="B18" s="30"/>
      <c r="C18" s="30"/>
      <c r="D18" s="30"/>
      <c r="E18" s="30"/>
      <c r="F18" s="11" t="s">
        <v>128</v>
      </c>
      <c r="H18" s="11" t="s">
        <v>239</v>
      </c>
      <c r="I18" s="11" t="s">
        <v>240</v>
      </c>
      <c r="J18" s="11"/>
      <c r="K18" s="11" t="s">
        <v>93</v>
      </c>
      <c r="L18" s="11" t="s">
        <v>241</v>
      </c>
      <c r="M18" s="11"/>
      <c r="P18" t="s">
        <v>242</v>
      </c>
    </row>
    <row r="19" spans="1:23" x14ac:dyDescent="0.25">
      <c r="A19" s="27"/>
      <c r="B19" s="30"/>
      <c r="C19" s="30"/>
      <c r="D19" s="30"/>
      <c r="E19" s="30"/>
      <c r="F19" s="11" t="s">
        <v>243</v>
      </c>
      <c r="H19" s="11" t="s">
        <v>244</v>
      </c>
      <c r="I19" s="11" t="s">
        <v>245</v>
      </c>
      <c r="J19" s="11"/>
      <c r="K19" s="11" t="s">
        <v>93</v>
      </c>
      <c r="L19" s="11"/>
      <c r="M19" s="11"/>
    </row>
    <row r="20" spans="1:23" x14ac:dyDescent="0.25">
      <c r="A20" s="27"/>
      <c r="B20" s="30"/>
      <c r="C20" s="30"/>
      <c r="D20" s="30"/>
      <c r="E20" s="30"/>
      <c r="F20" s="11" t="s">
        <v>126</v>
      </c>
      <c r="H20" s="11" t="s">
        <v>246</v>
      </c>
      <c r="I20" s="11" t="s">
        <v>247</v>
      </c>
      <c r="J20" s="11"/>
      <c r="K20" s="11" t="s">
        <v>248</v>
      </c>
      <c r="L20" s="11"/>
      <c r="M20" s="11"/>
    </row>
    <row r="21" spans="1:23" x14ac:dyDescent="0.25">
      <c r="A21" s="28"/>
      <c r="B21" s="31"/>
      <c r="C21" s="31"/>
      <c r="D21" s="15"/>
      <c r="E21" s="31"/>
      <c r="F21" s="8"/>
      <c r="G21" s="10"/>
      <c r="H21" s="8" t="s">
        <v>35</v>
      </c>
      <c r="I21" s="8" t="s">
        <v>18</v>
      </c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26" t="s">
        <v>249</v>
      </c>
      <c r="B22" s="29" t="s">
        <v>181</v>
      </c>
      <c r="C22" s="32" t="s">
        <v>182</v>
      </c>
      <c r="D22" s="29" t="s">
        <v>250</v>
      </c>
      <c r="E22" s="16"/>
      <c r="F22" s="16" t="s">
        <v>66</v>
      </c>
      <c r="G22" s="17"/>
      <c r="H22" s="16" t="s">
        <v>35</v>
      </c>
      <c r="I22" s="16" t="s">
        <v>251</v>
      </c>
      <c r="J22" s="16"/>
      <c r="K22" s="16" t="s">
        <v>252</v>
      </c>
      <c r="L22" s="16"/>
      <c r="M22" s="16" t="s">
        <v>253</v>
      </c>
      <c r="N22" s="17"/>
      <c r="O22" s="17"/>
      <c r="P22" s="17" t="s">
        <v>254</v>
      </c>
      <c r="Q22" s="17" t="s">
        <v>255</v>
      </c>
      <c r="R22" s="17" t="s">
        <v>114</v>
      </c>
      <c r="S22" s="18" t="s">
        <v>197</v>
      </c>
      <c r="T22" s="17"/>
      <c r="U22" s="17" t="s">
        <v>256</v>
      </c>
      <c r="V22" s="17"/>
    </row>
    <row r="23" spans="1:23" x14ac:dyDescent="0.25">
      <c r="A23" s="27"/>
      <c r="B23" s="30"/>
      <c r="C23" s="33"/>
      <c r="D23" s="30"/>
      <c r="E23" s="11"/>
      <c r="F23" s="11" t="s">
        <v>115</v>
      </c>
      <c r="G23" s="19"/>
      <c r="H23" s="11" t="s">
        <v>257</v>
      </c>
      <c r="I23" s="11" t="s">
        <v>258</v>
      </c>
      <c r="J23" s="11"/>
      <c r="K23" s="11" t="s">
        <v>259</v>
      </c>
      <c r="L23" s="11"/>
      <c r="M23" s="11"/>
      <c r="N23" s="19"/>
      <c r="O23" s="19"/>
      <c r="P23" s="19" t="s">
        <v>54</v>
      </c>
      <c r="Q23" s="19" t="s">
        <v>200</v>
      </c>
      <c r="R23" s="19" t="s">
        <v>260</v>
      </c>
      <c r="S23" s="19" t="s">
        <v>192</v>
      </c>
      <c r="T23" s="19"/>
      <c r="U23" s="19"/>
      <c r="V23" s="19"/>
    </row>
    <row r="24" spans="1:23" x14ac:dyDescent="0.25">
      <c r="A24" s="27"/>
      <c r="B24" s="30"/>
      <c r="C24" s="33"/>
      <c r="D24" s="30"/>
      <c r="E24" s="11"/>
      <c r="F24" s="11" t="s">
        <v>116</v>
      </c>
      <c r="G24" s="19"/>
      <c r="H24" s="11" t="s">
        <v>261</v>
      </c>
      <c r="I24" s="11" t="s">
        <v>262</v>
      </c>
      <c r="J24" s="11"/>
      <c r="K24" s="11" t="s">
        <v>15</v>
      </c>
      <c r="L24" s="11"/>
      <c r="M24" s="11"/>
      <c r="N24" s="19"/>
      <c r="O24" s="19"/>
      <c r="P24" s="19" t="s">
        <v>254</v>
      </c>
      <c r="Q24" s="19"/>
      <c r="R24" s="19"/>
      <c r="S24" s="19" t="s">
        <v>263</v>
      </c>
      <c r="T24" s="19"/>
      <c r="U24" s="19"/>
      <c r="V24" s="19"/>
    </row>
    <row r="25" spans="1:23" x14ac:dyDescent="0.25">
      <c r="A25" s="27"/>
      <c r="B25" s="30"/>
      <c r="C25" s="33"/>
      <c r="D25" s="30"/>
      <c r="E25" s="11"/>
      <c r="F25" s="11" t="s">
        <v>73</v>
      </c>
      <c r="G25" s="19"/>
      <c r="H25" s="11"/>
      <c r="I25" s="11" t="s">
        <v>264</v>
      </c>
      <c r="J25" s="11">
        <v>30</v>
      </c>
      <c r="K25" s="11" t="s">
        <v>15</v>
      </c>
      <c r="L25" s="11" t="s">
        <v>265</v>
      </c>
      <c r="M25" s="11"/>
      <c r="N25" s="19"/>
      <c r="O25" s="19"/>
      <c r="P25" s="19"/>
      <c r="Q25" s="19"/>
      <c r="R25" s="19"/>
      <c r="S25" s="19"/>
      <c r="T25" s="19"/>
      <c r="U25" s="19"/>
      <c r="V25" s="19"/>
    </row>
    <row r="26" spans="1:23" ht="12.6" customHeight="1" x14ac:dyDescent="0.25">
      <c r="A26" s="27"/>
      <c r="B26" s="30"/>
      <c r="C26" s="33"/>
      <c r="D26" s="30"/>
      <c r="E26" s="11"/>
      <c r="F26" s="11" t="s">
        <v>127</v>
      </c>
      <c r="G26" s="19"/>
      <c r="H26" s="11"/>
      <c r="I26" s="11" t="s">
        <v>266</v>
      </c>
      <c r="J26" s="11">
        <v>10</v>
      </c>
      <c r="K26" s="11" t="s">
        <v>15</v>
      </c>
      <c r="L26" s="11" t="s">
        <v>265</v>
      </c>
      <c r="M26" s="11"/>
      <c r="N26" s="19"/>
      <c r="O26" s="19"/>
      <c r="P26" s="20" t="s">
        <v>267</v>
      </c>
      <c r="Q26" s="19"/>
      <c r="R26" s="19"/>
      <c r="S26" s="19"/>
      <c r="T26" s="19"/>
      <c r="U26" s="19"/>
      <c r="V26" s="19"/>
    </row>
    <row r="27" spans="1:23" x14ac:dyDescent="0.25">
      <c r="A27" s="28"/>
      <c r="B27" s="31"/>
      <c r="C27" s="34"/>
      <c r="D27" s="9"/>
      <c r="E27" s="8"/>
      <c r="F27" s="8"/>
      <c r="G27" s="10"/>
      <c r="H27" s="8" t="s">
        <v>268</v>
      </c>
      <c r="I27" s="8" t="s">
        <v>269</v>
      </c>
      <c r="J27" s="8" t="s">
        <v>270</v>
      </c>
      <c r="K27" s="8"/>
      <c r="L27" s="8" t="s">
        <v>271</v>
      </c>
      <c r="M27" s="8"/>
      <c r="N27" s="10"/>
      <c r="O27" s="10"/>
      <c r="P27" s="10"/>
      <c r="Q27" s="10"/>
      <c r="R27" s="10"/>
      <c r="S27" s="10"/>
      <c r="T27" s="10"/>
      <c r="U27" s="10"/>
      <c r="V27" s="10"/>
    </row>
    <row r="28" spans="1:23" x14ac:dyDescent="0.25">
      <c r="A28" s="35" t="s">
        <v>272</v>
      </c>
      <c r="B28" s="11" t="s">
        <v>273</v>
      </c>
      <c r="C28" s="5" t="s">
        <v>280</v>
      </c>
      <c r="D28" s="5" t="s">
        <v>183</v>
      </c>
      <c r="E28" s="11"/>
      <c r="F28" s="11" t="s">
        <v>73</v>
      </c>
      <c r="G28" s="21" t="s">
        <v>275</v>
      </c>
      <c r="H28" s="11" t="s">
        <v>210</v>
      </c>
      <c r="I28" s="11" t="s">
        <v>274</v>
      </c>
      <c r="J28" s="11">
        <v>30</v>
      </c>
      <c r="K28" s="11" t="s">
        <v>15</v>
      </c>
      <c r="L28" s="11" t="s">
        <v>110</v>
      </c>
      <c r="M28" s="11" t="s">
        <v>276</v>
      </c>
      <c r="N28" s="19"/>
      <c r="O28" s="19" t="s">
        <v>278</v>
      </c>
      <c r="P28" s="22" t="s">
        <v>303</v>
      </c>
      <c r="Q28" s="19"/>
      <c r="R28" s="19"/>
      <c r="S28" s="19"/>
      <c r="T28" s="19"/>
      <c r="U28" s="19" t="s">
        <v>279</v>
      </c>
      <c r="V28" s="19"/>
      <c r="W28" s="19"/>
    </row>
    <row r="29" spans="1:23" x14ac:dyDescent="0.25">
      <c r="A29" s="36"/>
      <c r="B29" s="11"/>
      <c r="C29" s="5"/>
      <c r="D29" s="5"/>
      <c r="E29" s="11"/>
      <c r="F29" s="11" t="s">
        <v>128</v>
      </c>
      <c r="G29" s="19"/>
      <c r="H29" s="11" t="s">
        <v>210</v>
      </c>
      <c r="I29" s="11" t="s">
        <v>296</v>
      </c>
      <c r="J29" s="11">
        <v>10</v>
      </c>
      <c r="K29" s="11" t="s">
        <v>15</v>
      </c>
      <c r="L29" s="11" t="s">
        <v>110</v>
      </c>
      <c r="M29" s="11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25">
      <c r="A30" s="37"/>
      <c r="B30" s="10"/>
      <c r="C30" s="10"/>
      <c r="D30" s="10"/>
      <c r="E30" s="10"/>
      <c r="F30" s="10"/>
      <c r="G30" s="10"/>
      <c r="H30" s="10" t="s">
        <v>268</v>
      </c>
      <c r="I30" s="23" t="s">
        <v>269</v>
      </c>
      <c r="J30" s="23">
        <v>1</v>
      </c>
      <c r="K30" s="23" t="s">
        <v>277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</sheetData>
  <mergeCells count="24">
    <mergeCell ref="H1:M1"/>
    <mergeCell ref="N1:T1"/>
    <mergeCell ref="U1:W1"/>
    <mergeCell ref="A3:A11"/>
    <mergeCell ref="B3:B11"/>
    <mergeCell ref="C3:C11"/>
    <mergeCell ref="D3:D11"/>
    <mergeCell ref="E3:E11"/>
    <mergeCell ref="G3:G11"/>
    <mergeCell ref="A17:A21"/>
    <mergeCell ref="B17:B21"/>
    <mergeCell ref="C17:C21"/>
    <mergeCell ref="D17:D20"/>
    <mergeCell ref="E17:E21"/>
    <mergeCell ref="A12:A16"/>
    <mergeCell ref="B12:B16"/>
    <mergeCell ref="C12:C16"/>
    <mergeCell ref="D12:D16"/>
    <mergeCell ref="E12:E16"/>
    <mergeCell ref="A22:A27"/>
    <mergeCell ref="B22:B27"/>
    <mergeCell ref="C22:C27"/>
    <mergeCell ref="D22:D26"/>
    <mergeCell ref="A28:A30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7C24-EF6B-4D48-A713-FBB6D461CE68}">
  <dimension ref="A1:J22"/>
  <sheetViews>
    <sheetView workbookViewId="0">
      <selection activeCell="F29" sqref="F29"/>
    </sheetView>
  </sheetViews>
  <sheetFormatPr defaultRowHeight="15" x14ac:dyDescent="0.25"/>
  <cols>
    <col min="3" max="3" width="32.140625" customWidth="1"/>
  </cols>
  <sheetData>
    <row r="1" spans="1:10" x14ac:dyDescent="0.25">
      <c r="A1" t="s">
        <v>129</v>
      </c>
      <c r="C1" t="s">
        <v>130</v>
      </c>
    </row>
    <row r="2" spans="1:10" x14ac:dyDescent="0.25">
      <c r="B2" t="s">
        <v>36</v>
      </c>
      <c r="C2" t="s">
        <v>5</v>
      </c>
      <c r="D2" t="s">
        <v>131</v>
      </c>
      <c r="E2" t="s">
        <v>132</v>
      </c>
      <c r="F2" t="s">
        <v>133</v>
      </c>
      <c r="G2" t="s">
        <v>134</v>
      </c>
      <c r="H2" t="s">
        <v>3</v>
      </c>
    </row>
    <row r="3" spans="1:10" x14ac:dyDescent="0.25">
      <c r="A3" t="s">
        <v>135</v>
      </c>
      <c r="B3" s="2" t="s">
        <v>2</v>
      </c>
      <c r="C3" s="2" t="s">
        <v>136</v>
      </c>
      <c r="D3" s="2"/>
      <c r="E3">
        <v>10</v>
      </c>
      <c r="F3">
        <v>1000</v>
      </c>
      <c r="H3" t="s">
        <v>137</v>
      </c>
    </row>
    <row r="5" spans="1:10" x14ac:dyDescent="0.25">
      <c r="A5" t="s">
        <v>100</v>
      </c>
      <c r="B5" s="2" t="s">
        <v>35</v>
      </c>
      <c r="C5" s="2" t="s">
        <v>18</v>
      </c>
      <c r="D5" s="2" t="s">
        <v>138</v>
      </c>
      <c r="E5">
        <f>F3*1000*E6</f>
        <v>1700000</v>
      </c>
    </row>
    <row r="6" spans="1:10" x14ac:dyDescent="0.25">
      <c r="B6" s="2" t="s">
        <v>13</v>
      </c>
      <c r="C6" s="2" t="s">
        <v>139</v>
      </c>
      <c r="D6" s="2" t="s">
        <v>140</v>
      </c>
      <c r="E6">
        <v>1.7</v>
      </c>
      <c r="H6" t="s">
        <v>15</v>
      </c>
    </row>
    <row r="7" spans="1:10" x14ac:dyDescent="0.25">
      <c r="B7" t="s">
        <v>41</v>
      </c>
      <c r="C7" t="s">
        <v>141</v>
      </c>
      <c r="E7">
        <v>0.5</v>
      </c>
      <c r="F7">
        <v>5</v>
      </c>
      <c r="G7" t="s">
        <v>142</v>
      </c>
    </row>
    <row r="8" spans="1:10" x14ac:dyDescent="0.25">
      <c r="B8" t="s">
        <v>42</v>
      </c>
      <c r="C8" t="s">
        <v>143</v>
      </c>
      <c r="E8">
        <v>25</v>
      </c>
      <c r="H8" t="s">
        <v>15</v>
      </c>
      <c r="I8" t="s">
        <v>81</v>
      </c>
      <c r="J8" t="s">
        <v>144</v>
      </c>
    </row>
    <row r="9" spans="1:10" x14ac:dyDescent="0.25">
      <c r="B9" t="s">
        <v>58</v>
      </c>
      <c r="C9" t="s">
        <v>145</v>
      </c>
      <c r="D9" t="s">
        <v>146</v>
      </c>
      <c r="H9" t="s">
        <v>147</v>
      </c>
    </row>
    <row r="10" spans="1:10" x14ac:dyDescent="0.25">
      <c r="B10" t="s">
        <v>148</v>
      </c>
      <c r="C10" t="s">
        <v>149</v>
      </c>
      <c r="E10" t="s">
        <v>150</v>
      </c>
      <c r="F10" t="s">
        <v>151</v>
      </c>
      <c r="H10" s="1" t="s">
        <v>152</v>
      </c>
      <c r="I10" t="s">
        <v>153</v>
      </c>
    </row>
    <row r="11" spans="1:10" x14ac:dyDescent="0.25">
      <c r="B11" t="s">
        <v>48</v>
      </c>
      <c r="C11" t="s">
        <v>154</v>
      </c>
      <c r="E11">
        <v>100</v>
      </c>
      <c r="F11">
        <v>2000</v>
      </c>
      <c r="H11" t="s">
        <v>155</v>
      </c>
      <c r="I11" t="s">
        <v>153</v>
      </c>
    </row>
    <row r="12" spans="1:10" x14ac:dyDescent="0.25">
      <c r="B12" t="s">
        <v>63</v>
      </c>
      <c r="C12" t="s">
        <v>156</v>
      </c>
      <c r="E12">
        <v>2</v>
      </c>
      <c r="H12" t="s">
        <v>157</v>
      </c>
      <c r="I12" t="s">
        <v>158</v>
      </c>
    </row>
    <row r="13" spans="1:10" x14ac:dyDescent="0.25">
      <c r="B13" t="s">
        <v>62</v>
      </c>
      <c r="C13" t="s">
        <v>159</v>
      </c>
      <c r="E13" t="s">
        <v>160</v>
      </c>
    </row>
    <row r="15" spans="1:10" x14ac:dyDescent="0.25">
      <c r="A15" t="s">
        <v>103</v>
      </c>
      <c r="B15" s="2" t="s">
        <v>161</v>
      </c>
      <c r="C15" s="2" t="s">
        <v>162</v>
      </c>
      <c r="D15" t="s">
        <v>163</v>
      </c>
      <c r="E15" t="s">
        <v>164</v>
      </c>
      <c r="H15">
        <f>1-(1+(E5/E18))^-E17</f>
        <v>0.36399189481416838</v>
      </c>
    </row>
    <row r="16" spans="1:10" x14ac:dyDescent="0.25">
      <c r="B16" t="s">
        <v>165</v>
      </c>
      <c r="C16" t="s">
        <v>166</v>
      </c>
    </row>
    <row r="17" spans="1:5" x14ac:dyDescent="0.25">
      <c r="B17" t="s">
        <v>48</v>
      </c>
      <c r="C17" t="s">
        <v>167</v>
      </c>
      <c r="E17">
        <v>2.4E-2</v>
      </c>
    </row>
    <row r="18" spans="1:5" x14ac:dyDescent="0.25">
      <c r="B18" t="s">
        <v>49</v>
      </c>
      <c r="C18" t="s">
        <v>168</v>
      </c>
      <c r="E18">
        <v>1.0999999999999999E-2</v>
      </c>
    </row>
    <row r="20" spans="1:5" x14ac:dyDescent="0.25">
      <c r="A20" t="s">
        <v>297</v>
      </c>
      <c r="B20" s="2" t="s">
        <v>170</v>
      </c>
      <c r="C20" t="s">
        <v>171</v>
      </c>
      <c r="D20" t="s">
        <v>172</v>
      </c>
    </row>
    <row r="22" spans="1:5" x14ac:dyDescent="0.25">
      <c r="B22" t="s">
        <v>173</v>
      </c>
      <c r="C22" t="s">
        <v>174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Step 1 - Hazard</vt:lpstr>
      <vt:lpstr>Step 2 - Exposure</vt:lpstr>
      <vt:lpstr>Step 3 - Dose-Response</vt:lpstr>
      <vt:lpstr>QMRA calculation example</vt:lpstr>
      <vt:lpstr>QMRA case studies</vt:lpstr>
      <vt:lpstr>Campylobacter de 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Bleser</dc:creator>
  <cp:lastModifiedBy>Valesca Harezlak</cp:lastModifiedBy>
  <dcterms:created xsi:type="dcterms:W3CDTF">2023-02-17T09:35:40Z</dcterms:created>
  <dcterms:modified xsi:type="dcterms:W3CDTF">2023-03-10T14:10:09Z</dcterms:modified>
</cp:coreProperties>
</file>