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E0EEBF49-C191-498C-A906-5A78F3A8A75C}" xr6:coauthVersionLast="41" xr6:coauthVersionMax="41" xr10:uidLastSave="{00000000-0000-0000-0000-000000000000}"/>
  <bookViews>
    <workbookView xWindow="-28920" yWindow="7665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8" l="1"/>
  <c r="D10" i="8"/>
  <c r="D9" i="8"/>
  <c r="D8" i="8"/>
  <c r="D7" i="8"/>
  <c r="D6" i="8"/>
  <c r="D5" i="8"/>
  <c r="D4" i="8"/>
  <c r="D3" i="8"/>
  <c r="J13" i="5" l="1"/>
  <c r="J11" i="5"/>
  <c r="J10" i="5"/>
  <c r="J12" i="5"/>
  <c r="O12" i="5" l="1"/>
  <c r="P12" i="5" s="1"/>
  <c r="T13" i="5"/>
  <c r="Q13" i="5" a="1"/>
  <c r="Q13" i="5" s="1"/>
  <c r="R13" i="5" s="1"/>
  <c r="S13" i="5" s="1"/>
  <c r="K13" i="5" s="1"/>
  <c r="O13" i="5"/>
  <c r="P13" i="5" s="1"/>
  <c r="M13" i="5"/>
  <c r="N13" i="5" s="1"/>
  <c r="T12" i="5"/>
  <c r="Q12" i="5" a="1"/>
  <c r="Q12" i="5" s="1"/>
  <c r="R12" i="5" s="1"/>
  <c r="S12" i="5" s="1"/>
  <c r="K12" i="5" s="1"/>
  <c r="T11" i="5"/>
  <c r="Q11" i="5" a="1"/>
  <c r="Q11" i="5" s="1"/>
  <c r="R11" i="5" s="1"/>
  <c r="S11" i="5" s="1"/>
  <c r="K11" i="5" s="1"/>
  <c r="O11" i="5"/>
  <c r="P11" i="5" s="1"/>
  <c r="M11" i="5"/>
  <c r="N11" i="5" s="1"/>
  <c r="M12" i="5" l="1"/>
  <c r="N12" i="5" s="1"/>
  <c r="B4" i="13" l="1"/>
  <c r="B3" i="13"/>
  <c r="J18" i="9" l="1"/>
  <c r="J17" i="9"/>
  <c r="J16" i="9"/>
  <c r="J15" i="9"/>
  <c r="J14" i="9"/>
  <c r="J13" i="9"/>
  <c r="J12" i="9"/>
  <c r="J11" i="9"/>
  <c r="J10" i="9"/>
  <c r="J18" i="10"/>
  <c r="J17" i="10"/>
  <c r="J16" i="10"/>
  <c r="J15" i="10"/>
  <c r="J14" i="10"/>
  <c r="J13" i="10"/>
  <c r="J12" i="10"/>
  <c r="J11" i="10"/>
  <c r="J10" i="10"/>
  <c r="J17" i="14"/>
  <c r="J16" i="14"/>
  <c r="J15" i="14"/>
  <c r="J14" i="14"/>
  <c r="J13" i="14"/>
  <c r="J12" i="14"/>
  <c r="J11" i="14"/>
  <c r="J10" i="14"/>
  <c r="J18" i="14"/>
  <c r="M13" i="2" l="1"/>
  <c r="L13" i="2"/>
  <c r="M12" i="2"/>
  <c r="L12" i="2"/>
  <c r="M11" i="2"/>
  <c r="L11" i="2"/>
  <c r="M10" i="2"/>
  <c r="L10" i="2"/>
  <c r="M13" i="3"/>
  <c r="L13" i="3"/>
  <c r="M12" i="3"/>
  <c r="L12" i="3"/>
  <c r="M11" i="3"/>
  <c r="L11" i="3"/>
  <c r="M10" i="3"/>
  <c r="L10" i="3"/>
  <c r="E7" i="13"/>
  <c r="T18" i="14" l="1"/>
  <c r="T17" i="14"/>
  <c r="M17" i="14"/>
  <c r="T16" i="14"/>
  <c r="O16" i="14"/>
  <c r="P16" i="14" s="1"/>
  <c r="M16" i="14"/>
  <c r="T15" i="14"/>
  <c r="O15" i="14"/>
  <c r="P15" i="14" s="1"/>
  <c r="T14" i="14"/>
  <c r="O14" i="14"/>
  <c r="T13" i="14"/>
  <c r="T12" i="14"/>
  <c r="M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O12" i="10"/>
  <c r="O18" i="10"/>
  <c r="M12" i="10"/>
  <c r="T12" i="10"/>
  <c r="T13" i="10"/>
  <c r="T14" i="10"/>
  <c r="T15" i="10"/>
  <c r="M16" i="10"/>
  <c r="O16" i="10"/>
  <c r="T16" i="10"/>
  <c r="T17" i="10"/>
  <c r="T18" i="10"/>
  <c r="M14" i="14" l="1"/>
  <c r="N14" i="14" s="1"/>
  <c r="M18" i="14"/>
  <c r="N18" i="14" s="1"/>
  <c r="O12" i="14"/>
  <c r="P12" i="14" s="1"/>
  <c r="O18" i="14"/>
  <c r="P18" i="14" s="1"/>
  <c r="M18" i="10"/>
  <c r="N18" i="10" s="1"/>
  <c r="O14" i="10"/>
  <c r="P14" i="10" s="1"/>
  <c r="M14" i="10"/>
  <c r="N14" i="10" s="1"/>
  <c r="P18" i="10"/>
  <c r="N16" i="10"/>
  <c r="P16" i="10"/>
  <c r="P12" i="10"/>
  <c r="N12" i="10"/>
  <c r="M13" i="14"/>
  <c r="N13" i="14" s="1"/>
  <c r="O13" i="14"/>
  <c r="P13" i="14" s="1"/>
  <c r="M11" i="14"/>
  <c r="N16" i="14"/>
  <c r="P11" i="14"/>
  <c r="N17" i="14"/>
  <c r="N12" i="14"/>
  <c r="P14" i="14"/>
  <c r="M15" i="14"/>
  <c r="N15" i="14" s="1"/>
  <c r="O17" i="14"/>
  <c r="P17" i="14" s="1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N11" i="14"/>
  <c r="C6" i="14" l="1"/>
  <c r="C5" i="14"/>
  <c r="O10" i="9" l="1"/>
  <c r="O10" i="10"/>
  <c r="O10" i="6"/>
  <c r="T11" i="9"/>
  <c r="O11" i="9"/>
  <c r="T10" i="9"/>
  <c r="M10" i="9"/>
  <c r="T11" i="10"/>
  <c r="T10" i="10"/>
  <c r="O11" i="10" l="1"/>
  <c r="P11" i="10" s="1"/>
  <c r="P10" i="9"/>
  <c r="M11" i="9"/>
  <c r="P11" i="9"/>
  <c r="N10" i="9"/>
  <c r="M11" i="10"/>
  <c r="N11" i="10" s="1"/>
  <c r="M10" i="10"/>
  <c r="N10" i="10" s="1"/>
  <c r="P10" i="10"/>
  <c r="T10" i="5"/>
  <c r="O10" i="5"/>
  <c r="C4" i="9" l="1"/>
  <c r="C12" i="7" s="1"/>
  <c r="G12" i="7" s="1"/>
  <c r="N11" i="9"/>
  <c r="C5" i="9" s="1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3" i="3"/>
  <c r="S13" i="3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T13" i="3"/>
  <c r="Q10" i="3"/>
  <c r="S10" i="3"/>
  <c r="S11" i="2"/>
  <c r="Q18" i="9" l="1" a="1"/>
  <c r="Q18" i="9" s="1"/>
  <c r="R18" i="9" s="1"/>
  <c r="S18" i="9" s="1"/>
  <c r="K18" i="9" s="1"/>
  <c r="Q10" i="9" a="1"/>
  <c r="Q10" i="9" s="1"/>
  <c r="R10" i="9" s="1"/>
  <c r="S10" i="9" s="1"/>
  <c r="K10" i="9" s="1"/>
  <c r="Q15" i="10" a="1"/>
  <c r="Q15" i="10" s="1"/>
  <c r="R15" i="10" s="1"/>
  <c r="S15" i="10" s="1"/>
  <c r="K15" i="10" s="1"/>
  <c r="Q17" i="9" a="1"/>
  <c r="Q17" i="9" s="1"/>
  <c r="R17" i="9" s="1"/>
  <c r="S17" i="9" s="1"/>
  <c r="K17" i="9" s="1"/>
  <c r="Q16" i="10" a="1"/>
  <c r="Q16" i="10" s="1"/>
  <c r="R16" i="10" s="1"/>
  <c r="S16" i="10" s="1"/>
  <c r="K16" i="10" s="1"/>
  <c r="Q12" i="9" a="1"/>
  <c r="Q12" i="9" s="1"/>
  <c r="R12" i="9" s="1"/>
  <c r="S12" i="9" s="1"/>
  <c r="K12" i="9" s="1"/>
  <c r="Q16" i="9" a="1"/>
  <c r="Q16" i="9" s="1"/>
  <c r="R16" i="9" s="1"/>
  <c r="S16" i="9" s="1"/>
  <c r="K16" i="9" s="1"/>
  <c r="Q15" i="9" a="1"/>
  <c r="Q15" i="9" s="1"/>
  <c r="R15" i="9" s="1"/>
  <c r="S15" i="9" s="1"/>
  <c r="K15" i="9" s="1"/>
  <c r="Q13" i="10" a="1"/>
  <c r="Q13" i="10" s="1"/>
  <c r="R13" i="10" s="1"/>
  <c r="S13" i="10" s="1"/>
  <c r="K13" i="10" s="1"/>
  <c r="Q14" i="9" a="1"/>
  <c r="Q14" i="9" s="1"/>
  <c r="R14" i="9" s="1"/>
  <c r="S14" i="9" s="1"/>
  <c r="K14" i="9" s="1"/>
  <c r="Q11" i="10" a="1"/>
  <c r="Q11" i="10" s="1"/>
  <c r="R11" i="10" s="1"/>
  <c r="S11" i="10" s="1"/>
  <c r="K11" i="10" s="1"/>
  <c r="Q13" i="9" a="1"/>
  <c r="Q13" i="9" s="1"/>
  <c r="R13" i="9" s="1"/>
  <c r="S13" i="9" s="1"/>
  <c r="K13" i="9" s="1"/>
  <c r="Q10" i="10" a="1"/>
  <c r="Q10" i="10" s="1"/>
  <c r="R10" i="10" s="1"/>
  <c r="S10" i="10" s="1"/>
  <c r="K10" i="10" s="1"/>
  <c r="Q11" i="9" a="1"/>
  <c r="Q11" i="9" s="1"/>
  <c r="R11" i="9" s="1"/>
  <c r="S11" i="9" s="1"/>
  <c r="K11" i="9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U13" i="3" a="1"/>
  <c r="U13" i="3" s="1"/>
  <c r="V13" i="3" s="1"/>
  <c r="W13" i="3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Q12" i="14" a="1"/>
  <c r="Q12" i="14" s="1"/>
  <c r="R12" i="14" s="1"/>
  <c r="S12" i="14" s="1"/>
  <c r="K12" i="14" s="1"/>
  <c r="Q10" i="14" a="1"/>
  <c r="Q10" i="14" s="1"/>
  <c r="R10" i="14" s="1"/>
  <c r="S10" i="14" s="1"/>
  <c r="K10" i="14" s="1"/>
  <c r="Q17" i="14" a="1"/>
  <c r="Q17" i="14" s="1"/>
  <c r="R17" i="14" s="1"/>
  <c r="S17" i="14" s="1"/>
  <c r="K17" i="14" s="1"/>
  <c r="Q18" i="14" a="1"/>
  <c r="Q18" i="14" s="1"/>
  <c r="R18" i="14" s="1"/>
  <c r="S18" i="14" s="1"/>
  <c r="K18" i="14" s="1"/>
  <c r="Q11" i="14" a="1"/>
  <c r="Q11" i="14" s="1"/>
  <c r="R11" i="14" s="1"/>
  <c r="S11" i="14" s="1"/>
  <c r="K11" i="14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14" i="14" a="1"/>
  <c r="Q14" i="14" s="1"/>
  <c r="R14" i="14" s="1"/>
  <c r="S14" i="14" s="1"/>
  <c r="K14" i="14" s="1"/>
  <c r="Q13" i="14" a="1"/>
  <c r="Q13" i="14" s="1"/>
  <c r="R13" i="14" s="1"/>
  <c r="S13" i="14" s="1"/>
  <c r="K13" i="14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3" i="3"/>
  <c r="R13" i="3" s="1"/>
  <c r="N13" i="3"/>
  <c r="Q12" i="3"/>
  <c r="R12" i="3" s="1"/>
  <c r="N10" i="3"/>
  <c r="T10" i="3"/>
  <c r="R10" i="3"/>
  <c r="N12" i="3"/>
  <c r="Q11" i="2"/>
  <c r="R11" i="2" s="1"/>
  <c r="T11" i="2"/>
  <c r="S12" i="2"/>
  <c r="S13" i="2"/>
  <c r="X10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C6" i="3" l="1"/>
  <c r="C4" i="3"/>
  <c r="C8" i="7" s="1"/>
  <c r="G8" i="7" s="1"/>
  <c r="C5" i="3"/>
  <c r="D8" i="7" s="1"/>
  <c r="H8" i="7" s="1"/>
  <c r="W12" i="2"/>
  <c r="O12" i="2" s="1"/>
  <c r="O12" i="3"/>
  <c r="W13" i="2"/>
  <c r="O13" i="2" s="1"/>
  <c r="O13" i="3"/>
  <c r="Q10" i="2"/>
  <c r="T10" i="2"/>
  <c r="N10" i="2"/>
  <c r="C4" i="2" l="1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<sst xmlns="http://schemas.openxmlformats.org/spreadsheetml/2006/main" count="446" uniqueCount="106">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</sst>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105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4" t="s">
        <v>30</v>
      </c>
      <c r="E4" s="5">
        <f>1/30*B3</f>
        <v>3.3333333333333334E-8</v>
      </c>
      <c r="F4" s="25">
        <v>1</v>
      </c>
    </row>
    <row r="5" spans="1:6" x14ac:dyDescent="0.25">
      <c r="D5" s="65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6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7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8" t="s">
        <v>34</v>
      </c>
      <c r="E8" s="15">
        <v>0</v>
      </c>
      <c r="F8" s="27">
        <f>E7</f>
        <v>2.9999999999999997E-5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3.3333333333333334E-8</v>
      </c>
    </row>
    <row r="14" spans="1:6" x14ac:dyDescent="0.25">
      <c r="D14" s="56" t="s">
        <v>52</v>
      </c>
      <c r="E14" s="26">
        <f>1/10*B3</f>
        <v>9.9999999999999995E-8</v>
      </c>
    </row>
    <row r="15" spans="1:6" x14ac:dyDescent="0.25">
      <c r="D15" s="57" t="s">
        <v>53</v>
      </c>
      <c r="E15" s="26">
        <f>1/3*B3</f>
        <v>3.333333333333333E-7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3*B4</f>
        <v>3.0000000000000001E-6</v>
      </c>
    </row>
    <row r="19" spans="2:5" x14ac:dyDescent="0.25">
      <c r="D19" s="61" t="s">
        <v>57</v>
      </c>
      <c r="E19" s="26">
        <f>10*B4</f>
        <v>9.9999999999999991E-6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C10" sqref="C10:D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 t="str">
        <f>IFERROR(MIN(1-PRODUCT(Q10:Q29),MAX(S10:S29)),"GR")</f>
        <v>GR</v>
      </c>
    </row>
    <row r="5" spans="2:25" x14ac:dyDescent="0.25">
      <c r="B5" s="40" t="s">
        <v>38</v>
      </c>
      <c r="C5" s="26">
        <f>MIN(1-PRODUCT(R10:R29),MAX(T10:T29))</f>
        <v>2.1279180495437089E-7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21</v>
      </c>
      <c r="G10" s="5">
        <v>6.3875088715400993E-8</v>
      </c>
      <c r="H10" s="25">
        <v>1.0645848119233497E-7</v>
      </c>
      <c r="I10" s="3" t="s">
        <v>18</v>
      </c>
      <c r="J10" s="5"/>
      <c r="K10" s="25"/>
      <c r="L10" s="29">
        <f t="shared" ref="L10:L13" si="0">IF($E10="Nee",0,IF(I10="Ja",IF(ISNUMBER(J10),J10,"-"),IF(ISNUMBER(G10),G10,"-")))</f>
        <v>6.3875088715400993E-8</v>
      </c>
      <c r="M10" s="5">
        <f t="shared" ref="M10:M13" si="1">IF($E10="Nee",0,IF(I10="Ja",IF(ISNUMBER(K10),K10,"-"),IF(ISNUMBER(H10),H10,"-")))</f>
        <v>1.0645848119233497E-7</v>
      </c>
      <c r="N10" s="6">
        <f t="shared" ref="N10:N13" si="2">IF(ISNUMBER(L10),IF(M10=0,1,M10/L10),"-")</f>
        <v>1.6666666666666665</v>
      </c>
      <c r="O10" s="30" t="str">
        <f t="shared" ref="O10:O13" si="3">IF(ISNUMBER($M10),W10,IF($X10,"D","ND"))</f>
        <v>+I</v>
      </c>
      <c r="Q10" s="31">
        <f t="shared" ref="Q10:Q13" si="4">IF(AND(F10="Geen faalkans",I10="Nee"),1,1-M10)</f>
        <v>0.99999989354151886</v>
      </c>
      <c r="R10" s="10">
        <f>IF(M10="-",1,Q10)</f>
        <v>0.99999989354151886</v>
      </c>
      <c r="S10" s="10">
        <f t="shared" ref="S10:S13" si="5">IF(AND(F10="Geen faalkans",I10="Nee"),0,L10*$C$3)</f>
        <v>1.8459900638750886E-6</v>
      </c>
      <c r="T10" s="10">
        <f>IF(L10="-",0,S10)</f>
        <v>1.8459900638750886E-6</v>
      </c>
      <c r="U10" s="9">
        <f t="array" ref="U10">MIN(IF('Normen en duidingsklassen'!$E$13:$E$20&gt;=$M10,'Normen en duidingsklassen'!$E$13:$E$20))</f>
        <v>3.333333333333333E-7</v>
      </c>
      <c r="V10" s="9">
        <f>IFERROR(MATCH($U10,'Normen en duidingsklassen'!$E$13:$E$20,),1)</f>
        <v>3</v>
      </c>
      <c r="W10" s="9" t="str">
        <f>INDEX('Normen en duidingsklassen'!$D$13:$D$20,STPH!V10)</f>
        <v>+I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0.5</v>
      </c>
      <c r="D11" s="9">
        <v>1</v>
      </c>
      <c r="E11" s="23" t="s">
        <v>17</v>
      </c>
      <c r="F11" s="8" t="s">
        <v>21</v>
      </c>
      <c r="G11" s="10">
        <v>6.3800000000000002E-8</v>
      </c>
      <c r="H11" s="26">
        <v>1.0633333333333333E-7</v>
      </c>
      <c r="I11" s="8" t="s">
        <v>18</v>
      </c>
      <c r="J11" s="10"/>
      <c r="K11" s="26"/>
      <c r="L11" s="31">
        <f t="shared" si="0"/>
        <v>6.3800000000000002E-8</v>
      </c>
      <c r="M11" s="10">
        <f t="shared" si="1"/>
        <v>1.0633333333333333E-7</v>
      </c>
      <c r="N11" s="11">
        <f t="shared" si="2"/>
        <v>1.6666666666666665</v>
      </c>
      <c r="O11" s="32" t="str">
        <f t="shared" si="3"/>
        <v>+I</v>
      </c>
      <c r="Q11" s="31">
        <f t="shared" si="4"/>
        <v>0.99999989366666664</v>
      </c>
      <c r="R11" s="10">
        <f t="shared" ref="R11:R13" si="6">IF(M11="-",1,Q11)</f>
        <v>0.99999989366666664</v>
      </c>
      <c r="S11" s="10">
        <f t="shared" si="5"/>
        <v>1.8438199999999999E-6</v>
      </c>
      <c r="T11" s="10">
        <f t="shared" ref="T11:T13" si="7">IF(L11="-",0,S11)</f>
        <v>1.8438199999999999E-6</v>
      </c>
      <c r="U11" s="9">
        <f t="array" ref="U11">MIN(IF('Normen en duidingsklassen'!$E$13:$E$20&gt;=$M11,'Normen en duidingsklassen'!$E$13:$E$20))</f>
        <v>3.333333333333333E-7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 t="shared" ref="X11:X13" si="8">IF($E11="Ja",IF($I11="Ja",NOT(ISNUMBER($J11)),FALSE),FALSE)</f>
        <v>0</v>
      </c>
    </row>
    <row r="12" spans="2:25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21</v>
      </c>
      <c r="G12" s="10">
        <v>2.9999999999999997E-5</v>
      </c>
      <c r="H12" s="26">
        <v>1.0633333333333333E-7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 t="shared" si="3"/>
        <v>D</v>
      </c>
      <c r="Q12" s="31" t="e">
        <f t="shared" si="4"/>
        <v>#VALUE!</v>
      </c>
      <c r="R12" s="10">
        <f t="shared" si="6"/>
        <v>1</v>
      </c>
      <c r="S12" s="10" t="e">
        <f t="shared" si="5"/>
        <v>#VALUE!</v>
      </c>
      <c r="T12" s="10">
        <f t="shared" si="7"/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1</v>
      </c>
    </row>
    <row r="13" spans="2:25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21</v>
      </c>
      <c r="G13" s="10">
        <v>1.0000000000000001E-15</v>
      </c>
      <c r="H13" s="26">
        <v>1.7573333333333336E-15</v>
      </c>
      <c r="I13" s="8" t="s">
        <v>18</v>
      </c>
      <c r="J13" s="10"/>
      <c r="K13" s="26"/>
      <c r="L13" s="31">
        <f t="shared" si="0"/>
        <v>1.0000000000000001E-15</v>
      </c>
      <c r="M13" s="10">
        <f t="shared" si="1"/>
        <v>1.7573333333333336E-15</v>
      </c>
      <c r="N13" s="11">
        <f t="shared" si="2"/>
        <v>1.7573333333333334</v>
      </c>
      <c r="O13" s="32" t="str">
        <f t="shared" si="3"/>
        <v>+III</v>
      </c>
      <c r="Q13" s="31">
        <f t="shared" si="4"/>
        <v>0.99999999999999822</v>
      </c>
      <c r="R13" s="10">
        <f t="shared" si="6"/>
        <v>0.99999999999999822</v>
      </c>
      <c r="S13" s="10">
        <f t="shared" si="5"/>
        <v>2.8900000000000002E-14</v>
      </c>
      <c r="T13" s="10">
        <f t="shared" si="7"/>
        <v>2.8900000000000002E-14</v>
      </c>
      <c r="U13" s="9">
        <f t="array" ref="U13">MIN(IF('Normen en duidingsklassen'!$E$13:$E$20&gt;=$M13,'Normen en duidingsklassen'!$E$13:$E$20))</f>
        <v>3.3333333333333334E-8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L11" sqref="L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 t="str">
        <f>IFERROR(MIN(1-PRODUCT(Q10:Q29),MAX(S10:S29)),"GR")</f>
        <v>GR</v>
      </c>
    </row>
    <row r="5" spans="2:25" x14ac:dyDescent="0.25">
      <c r="B5" s="40" t="s">
        <v>38</v>
      </c>
      <c r="C5" s="26">
        <f>MIN(1-PRODUCT(R10:R29),MAX(T10:T29))</f>
        <v>4.5997963771249317E-8</v>
      </c>
    </row>
    <row r="6" spans="2:25" ht="15.75" thickBot="1" x14ac:dyDescent="0.3">
      <c r="B6" s="41" t="s">
        <v>45</v>
      </c>
      <c r="C6" s="17" t="str">
        <f>IF(1-PRODUCT(R10:R29)&gt;MAX(T10:T29),"Ja","Nee")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21</v>
      </c>
      <c r="G10" s="5">
        <v>1E-10</v>
      </c>
      <c r="H10" s="25">
        <v>1.3300000000000001E-10</v>
      </c>
      <c r="I10" s="3" t="s">
        <v>18</v>
      </c>
      <c r="J10" s="5"/>
      <c r="K10" s="25"/>
      <c r="L10" s="29">
        <f t="shared" ref="L10:L13" si="0">IF($E10="Nee",0,IF(I10="Ja",IF(ISNUMBER(J10),J10,"-"),IF(ISNUMBER(G10),G10,"-")))</f>
        <v>1E-10</v>
      </c>
      <c r="M10" s="5">
        <f t="shared" ref="M10:M13" si="1">IF($E10="Nee",0,IF(I10="Ja",IF(ISNUMBER(K10),K10,"-"),IF(ISNUMBER(H10),H10,"-")))</f>
        <v>1.3300000000000001E-10</v>
      </c>
      <c r="N10" s="6">
        <f t="shared" ref="N10:N13" si="2">IF(ISNUMBER(L10),IF(M10=0,1,M10/L10),"-")</f>
        <v>1.33</v>
      </c>
      <c r="O10" s="30" t="str">
        <f t="shared" ref="O10:O13" si="3">IF(ISNUMBER($M10),W10,IF($X10,"D","ND"))</f>
        <v>+III</v>
      </c>
      <c r="Q10" s="31">
        <f t="shared" ref="Q10:Q13" si="4">IF(AND(F10="Geen faalkans",I10="Nee"),1,1-M10)</f>
        <v>0.99999999986699994</v>
      </c>
      <c r="R10" s="10">
        <f>IF(M10="-",1,Q10)</f>
        <v>0.99999999986699994</v>
      </c>
      <c r="S10" s="10">
        <f t="shared" ref="S10:S13" si="5">IF(AND(F10="Geen faalkans",I10="Nee"),0,L10*$C$3)</f>
        <v>1.4800000000000001E-9</v>
      </c>
      <c r="T10" s="10">
        <f>IF(L10="-",0,S10)</f>
        <v>1.4800000000000001E-9</v>
      </c>
      <c r="U10" s="9">
        <f t="array" ref="U10">MIN(IF('Normen en duidingsklassen'!$E$13:$E$20&gt;=$M10,'Normen en duidingsklassen'!$E$13:$E$20))</f>
        <v>3.3333333333333334E-8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0.5</v>
      </c>
      <c r="D11" s="9">
        <v>1</v>
      </c>
      <c r="E11" s="23" t="s">
        <v>17</v>
      </c>
      <c r="F11" s="8" t="s">
        <v>21</v>
      </c>
      <c r="G11" s="10">
        <v>1E-4</v>
      </c>
      <c r="H11" s="26">
        <v>1.3300000000000001E-10</v>
      </c>
      <c r="I11" s="8" t="s">
        <v>17</v>
      </c>
      <c r="J11" s="10"/>
      <c r="K11" s="26"/>
      <c r="L11" s="31" t="str">
        <f t="shared" si="0"/>
        <v>-</v>
      </c>
      <c r="M11" s="10" t="str">
        <f t="shared" si="1"/>
        <v>-</v>
      </c>
      <c r="N11" s="11" t="str">
        <f t="shared" si="2"/>
        <v>-</v>
      </c>
      <c r="O11" s="32" t="str">
        <f t="shared" si="3"/>
        <v>D</v>
      </c>
      <c r="Q11" s="31" t="e">
        <f t="shared" si="4"/>
        <v>#VALUE!</v>
      </c>
      <c r="R11" s="10">
        <f t="shared" ref="R11:R13" si="6">IF(M11="-",1,Q11)</f>
        <v>1</v>
      </c>
      <c r="S11" s="10" t="e">
        <f t="shared" si="5"/>
        <v>#VALUE!</v>
      </c>
      <c r="T11" s="10">
        <f t="shared" ref="T11:T13" si="7"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13" si="8">IF($E11="Ja",IF($I11="Ja",NOT(ISNUMBER($J11)),FALSE),FALSE)</f>
        <v>1</v>
      </c>
    </row>
    <row r="12" spans="2:25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21</v>
      </c>
      <c r="G12" s="10">
        <v>1.7E-8</v>
      </c>
      <c r="H12" s="26">
        <v>2.2610000000000002E-8</v>
      </c>
      <c r="I12" s="8" t="s">
        <v>18</v>
      </c>
      <c r="J12" s="10"/>
      <c r="K12" s="26"/>
      <c r="L12" s="31">
        <f t="shared" si="0"/>
        <v>1.7E-8</v>
      </c>
      <c r="M12" s="10">
        <f t="shared" si="1"/>
        <v>2.2610000000000002E-8</v>
      </c>
      <c r="N12" s="11">
        <f t="shared" si="2"/>
        <v>1.33</v>
      </c>
      <c r="O12" s="32" t="str">
        <f t="shared" si="3"/>
        <v>+III</v>
      </c>
      <c r="Q12" s="31">
        <f t="shared" si="4"/>
        <v>0.99999997739000002</v>
      </c>
      <c r="R12" s="10">
        <f t="shared" si="6"/>
        <v>0.99999997739000002</v>
      </c>
      <c r="S12" s="10">
        <f t="shared" si="5"/>
        <v>2.516E-7</v>
      </c>
      <c r="T12" s="10">
        <f t="shared" si="7"/>
        <v>2.516E-7</v>
      </c>
      <c r="U12" s="9">
        <f t="array" ref="U12">MIN(IF('Normen en duidingsklassen'!$E$13:$E$20&gt;=$M12,'Normen en duidingsklassen'!$E$13:$E$20))</f>
        <v>3.3333333333333334E-8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21</v>
      </c>
      <c r="G13" s="10">
        <v>1.6914177463549946E-8</v>
      </c>
      <c r="H13" s="26">
        <v>2.3254964311085553E-8</v>
      </c>
      <c r="I13" s="8" t="s">
        <v>18</v>
      </c>
      <c r="J13" s="10"/>
      <c r="K13" s="26"/>
      <c r="L13" s="31">
        <f t="shared" si="0"/>
        <v>1.6914177463549946E-8</v>
      </c>
      <c r="M13" s="10">
        <f t="shared" si="1"/>
        <v>2.3254964311085553E-8</v>
      </c>
      <c r="N13" s="11">
        <f t="shared" si="2"/>
        <v>1.3748800000000001</v>
      </c>
      <c r="O13" s="32" t="str">
        <f t="shared" si="3"/>
        <v>+III</v>
      </c>
      <c r="Q13" s="31">
        <f t="shared" si="4"/>
        <v>0.99999997674503571</v>
      </c>
      <c r="R13" s="10">
        <f t="shared" si="6"/>
        <v>0.99999997674503571</v>
      </c>
      <c r="S13" s="10">
        <f t="shared" si="5"/>
        <v>2.5032982646053922E-7</v>
      </c>
      <c r="T13" s="10">
        <f t="shared" si="7"/>
        <v>2.5032982646053922E-7</v>
      </c>
      <c r="U13" s="9">
        <f t="array" ref="U13">MIN(IF('Normen en duidingsklassen'!$E$13:$E$20&gt;=$M13,'Normen en duidingsklassen'!$E$13:$E$20))</f>
        <v>3.3333333333333334E-8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D13" sqref="D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IFERROR(MIN(1-PRODUCT(M10:M70),MAX(O10:O70)),"GR")</f>
        <v>GR</v>
      </c>
    </row>
    <row r="5" spans="2:21" x14ac:dyDescent="0.25">
      <c r="B5" s="40" t="s">
        <v>38</v>
      </c>
      <c r="C5" s="26">
        <f>MIN(1-PRODUCT(N10:N70),MAX(P10:P70))</f>
        <v>1.2399999960166497E-7</v>
      </c>
    </row>
    <row r="6" spans="2:21" ht="15.75" thickBot="1" x14ac:dyDescent="0.3">
      <c r="B6" s="41" t="s">
        <v>45</v>
      </c>
      <c r="C6" s="17" t="str">
        <f>IF(1-PRODUCT(N10:N70)&gt;MAX(P10:P70),"Ja","Nee")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0.5</v>
      </c>
      <c r="E10" s="22" t="s">
        <v>17</v>
      </c>
      <c r="F10" s="3" t="s">
        <v>23</v>
      </c>
      <c r="G10" s="25">
        <v>3.1000000000000001E-5</v>
      </c>
      <c r="H10" s="3" t="s">
        <v>17</v>
      </c>
      <c r="I10" s="25">
        <v>1.1999999999999999E-7</v>
      </c>
      <c r="J10" s="5">
        <f t="shared" ref="J10:J11" si="0">IF($E10="Nee",0,IF(H10="Ja",IF(ISNUMBER(I10),I10,"-"),IF(ISNUMBER(G10),G10,"-")))</f>
        <v>1.1999999999999999E-7</v>
      </c>
      <c r="K10" s="30" t="str">
        <f t="shared" ref="K10:K13" si="1">IF(ISNUMBER($J10),S10,IF($T10,"D","ND"))</f>
        <v>+I</v>
      </c>
      <c r="M10" s="31">
        <f t="shared" ref="M10" si="2">IF(AND(F10="Geen faalkans",H10="Nee"),1,1-J10)</f>
        <v>0.99999987999999995</v>
      </c>
      <c r="N10" s="10">
        <f t="shared" ref="N10" si="3">IF(J10="-",1,M10)</f>
        <v>0.99999987999999995</v>
      </c>
      <c r="O10" s="10">
        <f t="shared" ref="O10" si="4">IF(AND(F10="Geen faalkans",H10="Nee"),0,J10*$C$3)</f>
        <v>2.3999999999999998E-7</v>
      </c>
      <c r="P10" s="10">
        <f>IF(J10="-",0,O10)</f>
        <v>2.3999999999999998E-7</v>
      </c>
      <c r="Q10" s="9">
        <f t="array" ref="Q10">MIN(IF('Normen en duidingsklassen'!$E$13:$E$20&gt;$J10,'Normen en duidingsklassen'!$E$13:$E$20))</f>
        <v>3.333333333333333E-7</v>
      </c>
      <c r="R10" s="9">
        <f>IFERROR(MATCH($Q10,'Normen en duidingsklassen'!$E$13:$E$20),1)</f>
        <v>3</v>
      </c>
      <c r="S10" s="9" t="str">
        <f>INDEX('Normen en duidingsklassen'!$D$13:$D$20,R10)</f>
        <v>+I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0.5</v>
      </c>
      <c r="D11" s="9">
        <v>1</v>
      </c>
      <c r="E11" s="23" t="s">
        <v>18</v>
      </c>
      <c r="F11" s="8" t="s">
        <v>22</v>
      </c>
      <c r="G11" s="26">
        <v>2.9999999999999997E-5</v>
      </c>
      <c r="H11" s="8" t="s">
        <v>17</v>
      </c>
      <c r="I11" s="26">
        <v>9.9999999999999995E-7</v>
      </c>
      <c r="J11" s="10">
        <f t="shared" si="0"/>
        <v>0</v>
      </c>
      <c r="K11" s="32" t="str">
        <f t="shared" si="1"/>
        <v>+III</v>
      </c>
      <c r="M11" s="31">
        <f t="shared" ref="M11:M13" si="5">IF(AND(F11="Geen faalkans",H11="Nee"),1,1-J11)</f>
        <v>1</v>
      </c>
      <c r="N11" s="10">
        <f t="shared" ref="N11:N13" si="6">IF(J11="-",1,M11)</f>
        <v>1</v>
      </c>
      <c r="O11" s="10">
        <f t="shared" ref="O11:O13" si="7">IF(AND(F11="Geen faalkans",H11="Nee"),0,J11*$C$3)</f>
        <v>0</v>
      </c>
      <c r="P11" s="10">
        <f t="shared" ref="P11:P13" si="8">IF(J11="-",0,O11)</f>
        <v>0</v>
      </c>
      <c r="Q11" s="9">
        <f t="array" ref="Q11">MIN(IF('Normen en duidingsklassen'!$E$13:$E$20&gt;$J11,'Normen en duidingsklassen'!$E$13:$E$20))</f>
        <v>3.3333333333333334E-8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13" si="9">IF($E11="Ja",IF($H11="Ja",NOT(ISNUMBER($I11)),FALSE),FALSE)</f>
        <v>0</v>
      </c>
    </row>
    <row r="12" spans="2:21" x14ac:dyDescent="0.25">
      <c r="B12" s="8" t="s">
        <v>10</v>
      </c>
      <c r="C12" s="9">
        <v>1</v>
      </c>
      <c r="D12" s="9">
        <v>1.5</v>
      </c>
      <c r="E12" s="23" t="s">
        <v>17</v>
      </c>
      <c r="F12" s="8" t="s">
        <v>23</v>
      </c>
      <c r="G12" s="26">
        <v>4.01E-9</v>
      </c>
      <c r="H12" s="8" t="s">
        <v>17</v>
      </c>
      <c r="I12" s="26"/>
      <c r="J12" s="10" t="str">
        <f>IF($E12="Nee",0,IF(H12="Ja",IF(ISNUMBER(I12),I12,"-"),IF(ISNUMBER(G12),G12,"-")))</f>
        <v>-</v>
      </c>
      <c r="K12" s="32" t="str">
        <f t="shared" si="1"/>
        <v>D</v>
      </c>
      <c r="M12" s="31" t="e">
        <f t="shared" si="5"/>
        <v>#VALUE!</v>
      </c>
      <c r="N12" s="10">
        <f t="shared" si="6"/>
        <v>1</v>
      </c>
      <c r="O12" s="10" t="e">
        <f t="shared" si="7"/>
        <v>#VALUE!</v>
      </c>
      <c r="P12" s="10">
        <f t="shared" si="8"/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1</v>
      </c>
    </row>
    <row r="13" spans="2:21" x14ac:dyDescent="0.25">
      <c r="B13" s="8" t="s">
        <v>11</v>
      </c>
      <c r="C13" s="9">
        <v>1.5</v>
      </c>
      <c r="D13" s="9">
        <v>2.0680000000000001</v>
      </c>
      <c r="E13" s="23" t="s">
        <v>17</v>
      </c>
      <c r="F13" s="8" t="s">
        <v>23</v>
      </c>
      <c r="G13" s="26">
        <v>1.2100000000000001E-7</v>
      </c>
      <c r="H13" s="8" t="s">
        <v>17</v>
      </c>
      <c r="I13" s="26">
        <v>3.9999999999999994E-9</v>
      </c>
      <c r="J13" s="10">
        <f t="shared" ref="J13" si="10">IF($E13="Nee",0,IF(H13="Ja",IF(ISNUMBER(I13),I13,"-"),IF(ISNUMBER(G13),G13,"-")))</f>
        <v>3.9999999999999994E-9</v>
      </c>
      <c r="K13" s="32" t="str">
        <f t="shared" si="1"/>
        <v>+III</v>
      </c>
      <c r="M13" s="31">
        <f t="shared" si="5"/>
        <v>0.999999996</v>
      </c>
      <c r="N13" s="10">
        <f t="shared" si="6"/>
        <v>0.999999996</v>
      </c>
      <c r="O13" s="10">
        <f t="shared" si="7"/>
        <v>7.9999999999999988E-9</v>
      </c>
      <c r="P13" s="10">
        <f t="shared" si="8"/>
        <v>7.9999999999999988E-9</v>
      </c>
      <c r="Q13" s="9">
        <f t="array" ref="Q13">MIN(IF('Normen en duidingsklassen'!$E$13:$E$20&gt;$J13,'Normen en duidingsklassen'!$E$13:$E$20))</f>
        <v>3.3333333333333334E-8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2.0680000000000001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3.3333333333333334E-8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C10" sqref="C10:D1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 t="str">
        <f>IFERROR(MIN(1-PRODUCT(M10:M27),MAX(O10:O27)),"GR")</f>
        <v>GR</v>
      </c>
    </row>
    <row r="5" spans="2:21" x14ac:dyDescent="0.25">
      <c r="B5" s="40" t="s">
        <v>38</v>
      </c>
      <c r="C5" s="26">
        <f>MIN(1-PRODUCT(N10:N27),MAX(P10:P27))</f>
        <v>7.1118888556043203E-9</v>
      </c>
    </row>
    <row r="6" spans="2:21" ht="15.75" thickBot="1" x14ac:dyDescent="0.3">
      <c r="B6" s="41" t="s">
        <v>45</v>
      </c>
      <c r="C6" s="17" t="str">
        <f>IF(1-PRODUCT(N10:N27)&gt;MAX(P10:P27),"Ja","Nee")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8" t="s">
        <v>23</v>
      </c>
      <c r="G10" s="25"/>
      <c r="H10" s="3" t="s">
        <v>17</v>
      </c>
      <c r="I10" s="25"/>
      <c r="J10" s="5" t="str">
        <f t="shared" ref="J10:J18" si="0">IF($E10="Nee",0,IF(H10="Ja",IF(ISNUMBER(I10),I10,"-"),IF(ISNUMBER(G10),G10,"-")))</f>
        <v>-</v>
      </c>
      <c r="K10" s="30" t="str">
        <f t="shared" ref="K10:K11" si="1">IF(ISNUMBER($J10),S10,IF($T10,"D","ND"))</f>
        <v>D</v>
      </c>
      <c r="M10" s="31" t="e">
        <f t="shared" ref="M10:M11" si="2">IF(AND(F10="Geen faalkans",H10="Nee"),1,1-J10)</f>
        <v>#VALUE!</v>
      </c>
      <c r="N10" s="10">
        <f t="shared" ref="N10:N11" si="3">IF(J10="-",1,M10)</f>
        <v>1</v>
      </c>
      <c r="O10" s="10" t="e">
        <f t="shared" ref="O10:O11" si="4"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1</v>
      </c>
    </row>
    <row r="11" spans="2:2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3.3333333333333334E-8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x14ac:dyDescent="0.25">
      <c r="B12" s="8" t="s">
        <v>10</v>
      </c>
      <c r="C12" s="9">
        <v>0.5</v>
      </c>
      <c r="D12" s="9">
        <v>0.6</v>
      </c>
      <c r="E12" s="23" t="s">
        <v>17</v>
      </c>
      <c r="F12" s="8" t="s">
        <v>23</v>
      </c>
      <c r="G12" s="26">
        <v>6.6666666666666668E-9</v>
      </c>
      <c r="H12" s="8" t="s">
        <v>17</v>
      </c>
      <c r="I12" s="26">
        <v>2.2222222222222221E-10</v>
      </c>
      <c r="J12" s="10">
        <f t="shared" si="0"/>
        <v>2.2222222222222221E-10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0.99999999977777776</v>
      </c>
      <c r="N12" s="10">
        <f t="shared" ref="N12:N18" si="9">IF(J12="-",1,M12)</f>
        <v>0.99999999977777776</v>
      </c>
      <c r="O12" s="10">
        <f t="shared" ref="O12:O18" si="10">IF(AND(F12="Geen faalkans",H12="Nee"),0,J12*$C$3)</f>
        <v>6.6666666666666664E-10</v>
      </c>
      <c r="P12" s="10">
        <f t="shared" si="5"/>
        <v>6.6666666666666664E-10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si="10"/>
        <v>0</v>
      </c>
      <c r="P13" s="10">
        <f t="shared" ref="P13:P18" si="11">IF(J13="-",0,O13)</f>
        <v>0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</v>
      </c>
      <c r="D14" s="9">
        <v>1.1000000000000001</v>
      </c>
      <c r="E14" s="23" t="s">
        <v>17</v>
      </c>
      <c r="F14" s="8" t="s">
        <v>23</v>
      </c>
      <c r="G14" s="26">
        <v>9.9999999999999995E-7</v>
      </c>
      <c r="H14" s="8" t="s">
        <v>17</v>
      </c>
      <c r="I14" s="26">
        <v>2.2300000000000001E-10</v>
      </c>
      <c r="J14" s="10">
        <f t="shared" si="0"/>
        <v>2.2300000000000001E-10</v>
      </c>
      <c r="K14" s="32" t="str">
        <f t="shared" si="7"/>
        <v>+III</v>
      </c>
      <c r="M14" s="31">
        <f t="shared" si="8"/>
        <v>0.99999999977700005</v>
      </c>
      <c r="N14" s="10">
        <f t="shared" si="9"/>
        <v>0.99999999977700005</v>
      </c>
      <c r="O14" s="10">
        <f t="shared" si="10"/>
        <v>6.6900000000000007E-10</v>
      </c>
      <c r="P14" s="10">
        <f t="shared" si="11"/>
        <v>6.6900000000000007E-10</v>
      </c>
      <c r="Q14" s="9">
        <f t="array" ref="Q14">MIN(IF('Normen en duidingsklassen'!$E$13:$E$20&gt;=$J14,'Normen en duidingsklassen'!$E$13:$E$20))</f>
        <v>3.3333333333333334E-8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3.3333333333333334E-8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23</v>
      </c>
      <c r="G16" s="26">
        <v>2.9999999999999997E-5</v>
      </c>
      <c r="H16" s="8" t="s">
        <v>17</v>
      </c>
      <c r="I16" s="26">
        <v>6.6666666666666668E-9</v>
      </c>
      <c r="J16" s="10">
        <f t="shared" si="0"/>
        <v>6.6666666666666668E-9</v>
      </c>
      <c r="K16" s="32" t="str">
        <f t="shared" si="7"/>
        <v>+III</v>
      </c>
      <c r="M16" s="31">
        <f t="shared" si="8"/>
        <v>0.99999999333333334</v>
      </c>
      <c r="N16" s="10">
        <f t="shared" si="9"/>
        <v>0.99999999333333334</v>
      </c>
      <c r="O16" s="10">
        <f t="shared" si="10"/>
        <v>2E-8</v>
      </c>
      <c r="P16" s="10">
        <f t="shared" si="11"/>
        <v>2E-8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23</v>
      </c>
      <c r="G18" s="26"/>
      <c r="H18" s="8" t="s">
        <v>17</v>
      </c>
      <c r="I18" s="26">
        <v>0</v>
      </c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3.3333333333333334E-8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H11" sqref="H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 t="str">
        <f>IFERROR(MIN(1-PRODUCT(M10:M27),MAX(O10:O27)),"GR")</f>
        <v>GR</v>
      </c>
    </row>
    <row r="5" spans="2:21" x14ac:dyDescent="0.25">
      <c r="B5" s="40" t="s">
        <v>38</v>
      </c>
      <c r="C5" s="26">
        <f>MIN(1-PRODUCT(N10:N27),MAX(P10:P27))</f>
        <v>9.9999999999999995E-7</v>
      </c>
    </row>
    <row r="6" spans="2:21" ht="15.75" thickBot="1" x14ac:dyDescent="0.3">
      <c r="B6" s="41" t="s">
        <v>45</v>
      </c>
      <c r="C6" s="17" t="str">
        <f>IF(1-PRODUCT(N10:N27)&gt;MAX(P10:P27),"Ja","Nee")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3" t="s">
        <v>21</v>
      </c>
      <c r="G10" s="25"/>
      <c r="H10" s="3" t="s">
        <v>17</v>
      </c>
      <c r="I10" s="25"/>
      <c r="J10" s="5" t="str">
        <f t="shared" ref="J10:J17" si="0">IF($E10="Nee",0,IF(H10="Ja",IF(ISNUMBER(I10),I10,"-"),IF(ISNUMBER(G10),G10,"-")))</f>
        <v>-</v>
      </c>
      <c r="K10" s="30" t="str">
        <f t="shared" ref="K10:K18" si="1">IF(ISNUMBER($J10),S10,IF($T10,"D","ND"))</f>
        <v>D</v>
      </c>
      <c r="M10" s="31" t="e">
        <f t="shared" ref="M10:M18" si="2">IF(AND(F10="Geen faalkans",H10="Nee"),1,1-J10)</f>
        <v>#VALUE!</v>
      </c>
      <c r="N10" s="10">
        <f t="shared" ref="N10:N18" si="3">IF(J10="-",1,M10)</f>
        <v>1</v>
      </c>
      <c r="O10" s="10" t="e">
        <f t="shared" ref="O10:O18" si="4"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duidingsklassen'!$E$13:$E$20&gt;$J10,'Normen en duidingsklassen'!$E$13:$E$20))</f>
        <v>0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1</v>
      </c>
    </row>
    <row r="11" spans="2:2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8" si="5">IF(J11="-",0,O11)</f>
        <v>0</v>
      </c>
      <c r="Q11" s="9">
        <f t="array" ref="Q11">MIN(IF('Normen en duidingsklassen'!$E$13:$E$20&gt;$J11,'Normen en duidingsklassen'!$E$13:$E$20))</f>
        <v>3.3333333333333334E-8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x14ac:dyDescent="0.25">
      <c r="B12" s="8" t="s">
        <v>10</v>
      </c>
      <c r="C12" s="9">
        <v>0.5</v>
      </c>
      <c r="D12" s="9">
        <v>0.6</v>
      </c>
      <c r="E12" s="23" t="s">
        <v>104</v>
      </c>
      <c r="F12" s="8" t="s">
        <v>21</v>
      </c>
      <c r="G12" s="26">
        <v>7.843137254901961E-11</v>
      </c>
      <c r="H12" s="8" t="s">
        <v>18</v>
      </c>
      <c r="I12" s="26"/>
      <c r="J12" s="10">
        <f t="shared" si="0"/>
        <v>7.843137254901961E-11</v>
      </c>
      <c r="K12" s="32" t="str">
        <f t="shared" si="1"/>
        <v>+III</v>
      </c>
      <c r="M12" s="31">
        <f t="shared" si="2"/>
        <v>0.99999999992156863</v>
      </c>
      <c r="N12" s="10">
        <f t="shared" si="3"/>
        <v>0.99999999992156863</v>
      </c>
      <c r="O12" s="10">
        <f t="shared" si="4"/>
        <v>7.843137254901961E-11</v>
      </c>
      <c r="P12" s="10">
        <f t="shared" si="5"/>
        <v>7.843137254901961E-11</v>
      </c>
      <c r="Q12" s="9">
        <f t="array" ref="Q12">MIN(IF('Normen en duidingsklassen'!$E$13:$E$20&gt;$J12,'Normen en duidingsklassen'!$E$13:$E$20))</f>
        <v>3.3333333333333334E-8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3.3333333333333334E-8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</v>
      </c>
      <c r="D14" s="9">
        <v>1.1000000000000001</v>
      </c>
      <c r="E14" s="23" t="s">
        <v>104</v>
      </c>
      <c r="F14" s="8" t="s">
        <v>21</v>
      </c>
      <c r="G14" s="26">
        <v>0</v>
      </c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3.3333333333333334E-8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3.3333333333333334E-8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21</v>
      </c>
      <c r="G16" s="26">
        <v>1</v>
      </c>
      <c r="H16" s="8" t="s">
        <v>17</v>
      </c>
      <c r="I16" s="26">
        <v>9.9999999999999995E-7</v>
      </c>
      <c r="J16" s="10">
        <f t="shared" si="0"/>
        <v>9.9999999999999995E-7</v>
      </c>
      <c r="K16" s="32" t="str">
        <f t="shared" si="1"/>
        <v>-I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duidingsklassen'!$E$13:$E$20&gt;$J16,'Normen en duidingsklassen'!$E$13:$E$20))</f>
        <v>3.0000000000000001E-6</v>
      </c>
      <c r="R16" s="9">
        <f>IFERROR(MATCH($Q16,'Normen en duidingsklassen'!$E$13:$E$20),1)</f>
        <v>6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3.3333333333333334E-8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21</v>
      </c>
      <c r="G18" s="26">
        <v>2.3529411764705885E-9</v>
      </c>
      <c r="H18" s="8" t="s">
        <v>17</v>
      </c>
      <c r="I18" s="26">
        <v>0</v>
      </c>
      <c r="J18" s="10">
        <f>IF($E18="Nee",0,IF(H18="Ja",IF(ISNUMBER(I18),I18,"-"),IF(ISNUMBER(G18),G18,"-")))</f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3.3333333333333334E-8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I19" sqref="I1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IFERROR(MIN(1-PRODUCT(M10:M26),MAX(O10:O26)),"GR")</f>
        <v>GR</v>
      </c>
    </row>
    <row r="5" spans="2:21" x14ac:dyDescent="0.25">
      <c r="B5" s="40" t="s">
        <v>38</v>
      </c>
      <c r="C5" s="26">
        <f>MIN(1-PRODUCT(N10:N26),MAX(P10:P26))</f>
        <v>1.0039999960298474E-6</v>
      </c>
    </row>
    <row r="6" spans="2:21" ht="15.75" thickBot="1" x14ac:dyDescent="0.3">
      <c r="B6" s="41" t="s">
        <v>45</v>
      </c>
      <c r="C6" s="17" t="str">
        <f>IF(1-PRODUCT(N10:N26)&gt;MAX(P10:P26),"Ja","Nee")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0.1</v>
      </c>
      <c r="E10" s="22" t="s">
        <v>17</v>
      </c>
      <c r="F10" s="3" t="s">
        <v>23</v>
      </c>
      <c r="G10" s="25">
        <v>0</v>
      </c>
      <c r="H10" s="3" t="s">
        <v>18</v>
      </c>
      <c r="I10" s="25"/>
      <c r="J10" s="5">
        <f t="shared" ref="J10:J18" si="0">IF($E10="Nee",0,IF(H10="Ja",IF(ISNUMBER(I10),I10,"-"),IF(ISNUMBER(G10),G10,"-")))</f>
        <v>0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3.3333333333333334E-8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0.1</v>
      </c>
      <c r="D11" s="9">
        <v>0.5</v>
      </c>
      <c r="E11" s="23" t="s">
        <v>18</v>
      </c>
      <c r="F11" s="8" t="s">
        <v>22</v>
      </c>
      <c r="G11" s="26"/>
      <c r="H11" s="8" t="s">
        <v>18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3.3333333333333334E-8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18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0.5</v>
      </c>
      <c r="D12" s="9">
        <v>0.6</v>
      </c>
      <c r="E12" s="23" t="s">
        <v>17</v>
      </c>
      <c r="F12" s="8" t="s">
        <v>23</v>
      </c>
      <c r="G12" s="26">
        <v>2.9999999999999997E-5</v>
      </c>
      <c r="H12" s="8" t="s">
        <v>17</v>
      </c>
      <c r="I12" s="26">
        <v>4.0000000000000002E-9</v>
      </c>
      <c r="J12" s="10">
        <f t="shared" si="0"/>
        <v>4.0000000000000002E-9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0.999999996</v>
      </c>
      <c r="N12" s="10">
        <f t="shared" ref="N12:N18" si="9">IF(J12="-",1,M12)</f>
        <v>0.999999996</v>
      </c>
      <c r="O12" s="10">
        <f t="shared" si="4"/>
        <v>8.0000000000000005E-9</v>
      </c>
      <c r="P12" s="10">
        <f t="shared" si="5"/>
        <v>8.0000000000000005E-9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0.6</v>
      </c>
      <c r="D13" s="9">
        <v>1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ref="O13:O18" si="10">IF(AND(F13="Geen faalkans",H13="Nee"),0,J13*$C$3)</f>
        <v>0</v>
      </c>
      <c r="P13" s="10">
        <f t="shared" ref="P13:P18" si="11">IF(J13="-",0,O13)</f>
        <v>0</v>
      </c>
      <c r="Q13" s="9">
        <f t="array" ref="Q13">MIN(IF('Normen en duidingsklassen'!$E$13:$E$20&gt;=$J13,'Normen en duidingsklassen'!$E$13:$E$20))</f>
        <v>3.3333333333333334E-8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</v>
      </c>
      <c r="D14" s="9">
        <v>1.1000000000000001</v>
      </c>
      <c r="E14" s="23" t="s">
        <v>17</v>
      </c>
      <c r="F14" s="8" t="s">
        <v>22</v>
      </c>
      <c r="G14" s="26">
        <v>9.9999999999999995E-7</v>
      </c>
      <c r="H14" s="8" t="s">
        <v>17</v>
      </c>
      <c r="I14" s="26"/>
      <c r="J14" s="10" t="str">
        <f t="shared" si="0"/>
        <v>-</v>
      </c>
      <c r="K14" s="32" t="str">
        <f t="shared" si="7"/>
        <v>D</v>
      </c>
      <c r="M14" s="31" t="e">
        <f t="shared" si="8"/>
        <v>#VALUE!</v>
      </c>
      <c r="N14" s="10">
        <f t="shared" si="9"/>
        <v>1</v>
      </c>
      <c r="O14" s="10" t="e">
        <f t="shared" si="10"/>
        <v>#VALUE!</v>
      </c>
      <c r="P14" s="10">
        <f t="shared" si="11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1</v>
      </c>
    </row>
    <row r="15" spans="2:21" ht="15.75" customHeight="1" x14ac:dyDescent="0.25">
      <c r="B15" s="8" t="s">
        <v>13</v>
      </c>
      <c r="C15" s="9">
        <v>1.1000000000000001</v>
      </c>
      <c r="D15" s="9">
        <v>1.5</v>
      </c>
      <c r="E15" s="23" t="s">
        <v>18</v>
      </c>
      <c r="F15" s="8" t="s">
        <v>22</v>
      </c>
      <c r="G15" s="70"/>
      <c r="H15" s="8" t="s">
        <v>18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3.3333333333333334E-8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1.5</v>
      </c>
      <c r="D16" s="9">
        <v>1.6</v>
      </c>
      <c r="E16" s="23" t="s">
        <v>17</v>
      </c>
      <c r="F16" s="8" t="s">
        <v>23</v>
      </c>
      <c r="G16" s="26">
        <v>1.2100000000000001E-7</v>
      </c>
      <c r="H16" s="8" t="s">
        <v>17</v>
      </c>
      <c r="I16" s="26">
        <v>9.9999999999999995E-7</v>
      </c>
      <c r="J16" s="10">
        <f t="shared" si="0"/>
        <v>9.9999999999999995E-7</v>
      </c>
      <c r="K16" s="32" t="str">
        <f t="shared" si="7"/>
        <v>+0</v>
      </c>
      <c r="M16" s="31">
        <f t="shared" si="8"/>
        <v>0.99999899999999997</v>
      </c>
      <c r="N16" s="10">
        <f t="shared" si="9"/>
        <v>0.99999899999999997</v>
      </c>
      <c r="O16" s="10">
        <f t="shared" si="10"/>
        <v>1.9999999999999999E-6</v>
      </c>
      <c r="P16" s="10">
        <f t="shared" si="11"/>
        <v>1.9999999999999999E-6</v>
      </c>
      <c r="Q16" s="9">
        <f t="array" ref="Q16">MIN(IF('Normen en duidingsklassen'!$E$13:$E$20&gt;=$J16,'Normen en duidingsklassen'!$E$13:$E$20))</f>
        <v>9.9999999999999995E-7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1.6</v>
      </c>
      <c r="D17" s="9">
        <v>2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2</v>
      </c>
      <c r="D18" s="9">
        <v>2.0680000000000001</v>
      </c>
      <c r="E18" s="23" t="s">
        <v>17</v>
      </c>
      <c r="F18" s="8" t="s">
        <v>23</v>
      </c>
      <c r="G18" s="26"/>
      <c r="H18" s="8" t="s">
        <v>17</v>
      </c>
      <c r="I18" s="26"/>
      <c r="J18" s="10" t="str">
        <f t="shared" si="0"/>
        <v>-</v>
      </c>
      <c r="K18" s="32" t="str">
        <f t="shared" si="7"/>
        <v>D</v>
      </c>
      <c r="M18" s="31" t="e">
        <f t="shared" si="8"/>
        <v>#VALUE!</v>
      </c>
      <c r="N18" s="10">
        <f t="shared" si="9"/>
        <v>1</v>
      </c>
      <c r="O18" s="10" t="e">
        <f t="shared" si="10"/>
        <v>#VALUE!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1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STPH!C4</f>
        <v>GR</v>
      </c>
      <c r="D7" s="25">
        <f>STPH!C5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68</v>
      </c>
      <c r="C8" s="31" t="str">
        <f>STBI!C4</f>
        <v>GR</v>
      </c>
      <c r="D8" s="26">
        <f>STBI!C5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69</v>
      </c>
      <c r="C9" s="31" t="str">
        <f>GEKB!C4</f>
        <v>GR</v>
      </c>
      <c r="D9" s="26">
        <f>GEKB!C5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 t="str">
        <f>STKWp!C4</f>
        <v>GR</v>
      </c>
      <c r="D11" s="26">
        <f>STKWp!C5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72</v>
      </c>
      <c r="C12" s="31" t="str">
        <f>HTKW!C4</f>
        <v>GR</v>
      </c>
      <c r="D12" s="26">
        <f>HTKW!C5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tabSelected="1" workbookViewId="0">
      <selection activeCell="D15" sqref="D15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0.1</v>
      </c>
      <c r="D3" s="22" t="str">
        <f t="shared" ref="D3:D11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D</v>
      </c>
      <c r="E3" s="4" t="str">
        <f t="array" ref="E3">INDEX(STPH!$O$10:$O$29,IFERROR(MATCH(MIN(IF(STPH!$D$10:$D$29&gt;AVERAGE(B3,C3),STPH!$D$10:$D$29)),STPH!$D$10:$D$29),1))</f>
        <v>+I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D</v>
      </c>
      <c r="J3" s="4" t="str">
        <f t="array" ref="J3">INDEX(BSKW!$K$10:$K$29,IFERROR(MATCH(MIN(IF(BSKW!$D$10:$D$29&gt;AVERAGE(B3,C3),BSKW!$D$10:$D$29)),BSKW!$D$10:$D$29),1))</f>
        <v>D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</v>
      </c>
      <c r="C4" s="9">
        <v>0.5</v>
      </c>
      <c r="D4" s="23" t="str">
        <f t="shared" si="0"/>
        <v>+I</v>
      </c>
      <c r="E4" s="9" t="str">
        <f t="array" ref="E4">INDEX(STPH!$O$10:$O$29,IFERROR(MATCH(MIN(IF(STPH!$D$10:$D$29&gt;AVERAGE(B4,C4),STPH!$D$10:$D$29)),STPH!$D$10:$D$29),1))</f>
        <v>+I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0.5</v>
      </c>
      <c r="C5" s="9">
        <v>0.6</v>
      </c>
      <c r="D5" s="23" t="str">
        <f t="shared" si="0"/>
        <v>D</v>
      </c>
      <c r="E5" s="9" t="str">
        <f t="array" ref="E5">INDEX(STPH!$O$10:$O$29,IFERROR(MATCH(MIN(IF(STPH!$D$10:$D$29&gt;AVERAGE(B5,C5),STPH!$D$10:$D$29)),STPH!$D$10:$D$29),1))</f>
        <v>+I</v>
      </c>
      <c r="F5" s="9" t="str">
        <f t="array" ref="F5">INDEX(STBI!$O$10:$O$29,IFERROR(MATCH(MIN(IF(STBI!$D$10:$D$29&gt;AVERAGE(B5,C5),STBI!$D$10:$D$29)),STBI!$D$10:$D$29),1))</f>
        <v>D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0.6</v>
      </c>
      <c r="C6" s="9">
        <v>1</v>
      </c>
      <c r="D6" s="23" t="str">
        <f t="shared" si="0"/>
        <v>D</v>
      </c>
      <c r="E6" s="9" t="str">
        <f t="array" ref="E6">INDEX(STPH!$O$10:$O$29,IFERROR(MATCH(MIN(IF(STPH!$D$10:$D$29&gt;AVERAGE(B6,C6),STPH!$D$10:$D$29)),STPH!$D$10:$D$29),1))</f>
        <v>+I</v>
      </c>
      <c r="F6" s="9" t="str">
        <f t="array" ref="F6">INDEX(STBI!$O$10:$O$29,IFERROR(MATCH(MIN(IF(STBI!$D$10:$D$29&gt;AVERAGE(B6,C6),STBI!$D$10:$D$29)),STBI!$D$10:$D$29),1))</f>
        <v>D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1</v>
      </c>
      <c r="C7" s="9">
        <v>1.1000000000000001</v>
      </c>
      <c r="D7" s="23" t="str">
        <f t="shared" si="0"/>
        <v>D</v>
      </c>
      <c r="E7" s="9" t="str">
        <f t="array" ref="E7">INDEX(STPH!$O$10:$O$29,IFERROR(MATCH(MIN(IF(STPH!$D$10:$D$29&gt;AVERAGE(B7,C7),STPH!$D$10:$D$29)),STPH!$D$10:$D$29),1))</f>
        <v>D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D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D</v>
      </c>
    </row>
    <row r="8" spans="2:11" x14ac:dyDescent="0.25">
      <c r="B8" s="8">
        <v>1.1000000000000001</v>
      </c>
      <c r="C8" s="9">
        <v>1.5</v>
      </c>
      <c r="D8" s="23" t="str">
        <f t="shared" si="0"/>
        <v>D</v>
      </c>
      <c r="E8" s="9" t="str">
        <f t="array" ref="E8">INDEX(STPH!$O$10:$O$29,IFERROR(MATCH(MIN(IF(STPH!$D$10:$D$29&gt;AVERAGE(B8,C8),STPH!$D$10:$D$29)),STPH!$D$10:$D$29),1))</f>
        <v>D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D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1.5</v>
      </c>
      <c r="C9" s="9">
        <v>1.6</v>
      </c>
      <c r="D9" s="23" t="str">
        <f t="shared" si="0"/>
        <v>-I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-I</v>
      </c>
      <c r="K9" s="12" t="str">
        <f t="array" ref="K9">INDEX(HTKW!$K$10:$K$29,IFERROR(MATCH(MIN(IF(HTKW!$D$10:$D$29&gt;AVERAGE(B9,C9),HTKW!$D$10:$D$29)),HTKW!$D$10:$D$29),1))</f>
        <v>+0</v>
      </c>
    </row>
    <row r="10" spans="2:11" x14ac:dyDescent="0.25">
      <c r="B10" s="8">
        <v>1.6</v>
      </c>
      <c r="C10" s="9">
        <v>2</v>
      </c>
      <c r="D10" s="23" t="str">
        <f t="shared" si="0"/>
        <v>+III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2</v>
      </c>
      <c r="C11" s="9">
        <v>2.0680000000000001</v>
      </c>
      <c r="D11" s="23" t="str">
        <f t="shared" si="0"/>
        <v>D</v>
      </c>
      <c r="E11" s="9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D</v>
      </c>
    </row>
    <row r="12" spans="2:11" x14ac:dyDescent="0.25">
      <c r="B12" s="8"/>
      <c r="C12" s="9"/>
      <c r="D12" s="23"/>
      <c r="E12" s="9"/>
      <c r="F12" s="9"/>
      <c r="G12" s="9"/>
      <c r="H12" s="9"/>
      <c r="I12" s="9"/>
      <c r="J12" s="9"/>
      <c r="K12" s="12"/>
    </row>
    <row r="13" spans="2:11" x14ac:dyDescent="0.25">
      <c r="B13" s="8"/>
      <c r="C13" s="9"/>
      <c r="D13" s="23"/>
      <c r="E13" s="9"/>
      <c r="F13" s="9"/>
      <c r="G13" s="9"/>
      <c r="H13" s="9"/>
      <c r="I13" s="9"/>
      <c r="J13" s="9"/>
      <c r="K13" s="12"/>
    </row>
    <row r="14" spans="2:11" x14ac:dyDescent="0.25">
      <c r="B14" s="8"/>
      <c r="C14" s="9"/>
      <c r="D14" s="23"/>
      <c r="E14" s="9"/>
      <c r="F14" s="9"/>
      <c r="G14" s="9"/>
      <c r="H14" s="9"/>
      <c r="I14" s="9"/>
      <c r="J14" s="9"/>
      <c r="K14" s="12"/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2022-03-01T10:34:46Z</dcterms:modified>
</cp:coreProperties>
</file>