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wbi-assemblage-rekenkern\benchmarktests\testdefinitions\"/>
    </mc:Choice>
  </mc:AlternateContent>
  <xr:revisionPtr revIDLastSave="0" documentId="13_ncr:1_{1887AEA3-BC34-410E-BA2B-E9FBBC7B327D}" xr6:coauthVersionLast="41" xr6:coauthVersionMax="41" xr10:uidLastSave="{00000000-0000-0000-0000-000000000000}"/>
  <bookViews>
    <workbookView xWindow="3510" yWindow="525" windowWidth="28800" windowHeight="15435" tabRatio="653" firstSheet="1" activeTab="8" xr2:uid="{34AC3CB5-6C6A-4A77-BC52-5E824B97181F}"/>
  </bookViews>
  <sheets>
    <sheet name="Informatiepagina" sheetId="1" r:id="rId1"/>
    <sheet name="Normen en duidingsklassen" sheetId="13" r:id="rId2"/>
    <sheet name="STPH" sheetId="2" r:id="rId3"/>
    <sheet name="STBI" sheetId="3" r:id="rId4"/>
    <sheet name="GEKB" sheetId="5" r:id="rId5"/>
    <sheet name="DA" sheetId="6" r:id="rId6"/>
    <sheet name="STKWp" sheetId="10" r:id="rId7"/>
    <sheet name="BSKW" sheetId="14" r:id="rId8"/>
    <sheet name="HTKW" sheetId="9" r:id="rId9"/>
    <sheet name="Veiligheidsoordeel" sheetId="7" r:id="rId10"/>
    <sheet name="Gecombineerd vakoordeel" sheetId="8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T22" i="14" l="1"/>
  <c r="Q22" i="14" a="1"/>
  <c r="Q22" i="14" s="1"/>
  <c r="R22" i="14" s="1"/>
  <c r="S22" i="14" s="1"/>
  <c r="O22" i="14"/>
  <c r="P22" i="14" s="1"/>
  <c r="N22" i="14"/>
  <c r="M22" i="14"/>
  <c r="T21" i="14"/>
  <c r="Q21" i="14"/>
  <c r="R21" i="14" s="1"/>
  <c r="S21" i="14" s="1"/>
  <c r="Q21" i="14" a="1"/>
  <c r="O21" i="14"/>
  <c r="P21" i="14" s="1"/>
  <c r="M21" i="14"/>
  <c r="N21" i="14" s="1"/>
  <c r="T20" i="14"/>
  <c r="Q20" i="14" a="1"/>
  <c r="Q20" i="14" s="1"/>
  <c r="R20" i="14" s="1"/>
  <c r="S20" i="14" s="1"/>
  <c r="P20" i="14"/>
  <c r="O20" i="14"/>
  <c r="N20" i="14"/>
  <c r="M20" i="14"/>
  <c r="T19" i="14"/>
  <c r="Q19" i="14" a="1"/>
  <c r="Q19" i="14" s="1"/>
  <c r="R19" i="14" s="1"/>
  <c r="S19" i="14" s="1"/>
  <c r="P19" i="14"/>
  <c r="O19" i="14"/>
  <c r="N19" i="14"/>
  <c r="M19" i="14"/>
  <c r="T18" i="14"/>
  <c r="Q18" i="14"/>
  <c r="R18" i="14" s="1"/>
  <c r="S18" i="14" s="1"/>
  <c r="Q18" i="14" a="1"/>
  <c r="P18" i="14"/>
  <c r="O18" i="14"/>
  <c r="M18" i="14"/>
  <c r="N18" i="14" s="1"/>
  <c r="T17" i="14"/>
  <c r="Q17" i="14" a="1"/>
  <c r="Q17" i="14" s="1"/>
  <c r="R17" i="14" s="1"/>
  <c r="S17" i="14" s="1"/>
  <c r="O17" i="14"/>
  <c r="P17" i="14" s="1"/>
  <c r="N17" i="14"/>
  <c r="M17" i="14"/>
  <c r="T16" i="14"/>
  <c r="Q16" i="14" a="1"/>
  <c r="Q16" i="14" s="1"/>
  <c r="R16" i="14" s="1"/>
  <c r="S16" i="14" s="1"/>
  <c r="O16" i="14"/>
  <c r="P16" i="14" s="1"/>
  <c r="M16" i="14"/>
  <c r="N16" i="14" s="1"/>
  <c r="T15" i="14"/>
  <c r="Q15" i="14"/>
  <c r="R15" i="14" s="1"/>
  <c r="S15" i="14" s="1"/>
  <c r="Q15" i="14" a="1"/>
  <c r="P15" i="14"/>
  <c r="O15" i="14"/>
  <c r="M15" i="14"/>
  <c r="N15" i="14" s="1"/>
  <c r="T14" i="14"/>
  <c r="Q14" i="14" a="1"/>
  <c r="Q14" i="14" s="1"/>
  <c r="R14" i="14" s="1"/>
  <c r="S14" i="14" s="1"/>
  <c r="O14" i="14"/>
  <c r="P14" i="14" s="1"/>
  <c r="N14" i="14"/>
  <c r="M14" i="14"/>
  <c r="T13" i="14"/>
  <c r="Q13" i="14"/>
  <c r="R13" i="14" s="1"/>
  <c r="S13" i="14" s="1"/>
  <c r="Q13" i="14" a="1"/>
  <c r="O13" i="14"/>
  <c r="P13" i="14" s="1"/>
  <c r="M13" i="14"/>
  <c r="N13" i="14" s="1"/>
  <c r="T12" i="14"/>
  <c r="Q12" i="14" a="1"/>
  <c r="Q12" i="14" s="1"/>
  <c r="R12" i="14" s="1"/>
  <c r="S12" i="14" s="1"/>
  <c r="P12" i="14"/>
  <c r="O12" i="14"/>
  <c r="N12" i="14"/>
  <c r="M12" i="14"/>
  <c r="R11" i="14"/>
  <c r="Q11" i="14" a="1"/>
  <c r="Q11" i="14" s="1"/>
  <c r="F3" i="8" l="1" a="1"/>
  <c r="F3" i="8" s="1"/>
  <c r="G3" i="8" a="1"/>
  <c r="G3" i="8" s="1"/>
  <c r="J3" i="8" a="1"/>
  <c r="J3" i="8" s="1"/>
  <c r="L3" i="8" a="1"/>
  <c r="L3" i="8" s="1"/>
  <c r="K22" i="9"/>
  <c r="K21" i="9"/>
  <c r="K20" i="9"/>
  <c r="K19" i="9"/>
  <c r="K18" i="9"/>
  <c r="K17" i="9"/>
  <c r="K16" i="9"/>
  <c r="K15" i="9"/>
  <c r="K14" i="9"/>
  <c r="K13" i="9"/>
  <c r="K12" i="9"/>
  <c r="K11" i="9"/>
  <c r="K22" i="14"/>
  <c r="K21" i="14"/>
  <c r="K20" i="14"/>
  <c r="K19" i="14"/>
  <c r="K18" i="14"/>
  <c r="K17" i="14"/>
  <c r="K16" i="14"/>
  <c r="K15" i="14"/>
  <c r="K14" i="14"/>
  <c r="K13" i="14"/>
  <c r="K12" i="14"/>
  <c r="K11" i="14"/>
  <c r="K22" i="10"/>
  <c r="K21" i="10"/>
  <c r="K20" i="10"/>
  <c r="K19" i="10"/>
  <c r="K18" i="10"/>
  <c r="K17" i="10"/>
  <c r="K16" i="10"/>
  <c r="K15" i="10"/>
  <c r="K14" i="10"/>
  <c r="K13" i="10"/>
  <c r="K12" i="10"/>
  <c r="K11" i="10"/>
  <c r="K11" i="6"/>
  <c r="K11" i="5"/>
  <c r="O22" i="3"/>
  <c r="O21" i="3"/>
  <c r="O20" i="3"/>
  <c r="O19" i="3"/>
  <c r="O18" i="3"/>
  <c r="O17" i="3"/>
  <c r="O16" i="3"/>
  <c r="O15" i="3"/>
  <c r="O14" i="3"/>
  <c r="O13" i="3"/>
  <c r="O12" i="3"/>
  <c r="O11" i="3"/>
  <c r="O11" i="2"/>
  <c r="O22" i="2"/>
  <c r="O21" i="2"/>
  <c r="O20" i="2"/>
  <c r="O19" i="2"/>
  <c r="O18" i="2"/>
  <c r="O17" i="2"/>
  <c r="O15" i="2"/>
  <c r="O14" i="2"/>
  <c r="O13" i="2"/>
  <c r="O12" i="2"/>
  <c r="O16" i="2"/>
  <c r="E17" i="13" l="1"/>
  <c r="E18" i="13" l="1"/>
  <c r="E16" i="13"/>
  <c r="E15" i="13"/>
  <c r="E14" i="13"/>
  <c r="E13" i="13"/>
  <c r="Q22" i="9" l="1" a="1"/>
  <c r="Q22" i="9" s="1"/>
  <c r="R22" i="9" s="1"/>
  <c r="Q21" i="9" a="1"/>
  <c r="Q21" i="9" s="1"/>
  <c r="R21" i="9" s="1"/>
  <c r="Q20" i="9" a="1"/>
  <c r="Q20" i="9" s="1"/>
  <c r="R20" i="9" s="1"/>
  <c r="Q19" i="9" a="1"/>
  <c r="Q19" i="9" s="1"/>
  <c r="R19" i="9" s="1"/>
  <c r="Q18" i="9" a="1"/>
  <c r="Q18" i="9" s="1"/>
  <c r="R18" i="9" s="1"/>
  <c r="Q17" i="9" a="1"/>
  <c r="Q17" i="9" s="1"/>
  <c r="R17" i="9" s="1"/>
  <c r="Q16" i="9" a="1"/>
  <c r="Q16" i="9" s="1"/>
  <c r="R16" i="9" s="1"/>
  <c r="Q15" i="9" a="1"/>
  <c r="Q15" i="9" s="1"/>
  <c r="R15" i="9" s="1"/>
  <c r="Q14" i="9" a="1"/>
  <c r="Q14" i="9" s="1"/>
  <c r="R14" i="9" s="1"/>
  <c r="Q13" i="9" a="1"/>
  <c r="Q13" i="9" s="1"/>
  <c r="R13" i="9" s="1"/>
  <c r="Q12" i="9" a="1"/>
  <c r="Q12" i="9" s="1"/>
  <c r="R12" i="9" s="1"/>
  <c r="Q11" i="9" a="1"/>
  <c r="Q11" i="9" s="1"/>
  <c r="R11" i="9" s="1"/>
  <c r="J22" i="9"/>
  <c r="J21" i="9"/>
  <c r="J20" i="9"/>
  <c r="J19" i="9"/>
  <c r="J18" i="9"/>
  <c r="J17" i="9"/>
  <c r="J16" i="9"/>
  <c r="J15" i="9"/>
  <c r="J14" i="9"/>
  <c r="J13" i="9"/>
  <c r="J12" i="9"/>
  <c r="J11" i="9"/>
  <c r="J22" i="10"/>
  <c r="J21" i="10"/>
  <c r="Q21" i="10" s="1" a="1"/>
  <c r="Q21" i="10" s="1"/>
  <c r="R21" i="10" s="1"/>
  <c r="J20" i="10"/>
  <c r="J19" i="10"/>
  <c r="J18" i="10"/>
  <c r="J17" i="10"/>
  <c r="J16" i="10"/>
  <c r="J15" i="10"/>
  <c r="Q15" i="10" s="1" a="1"/>
  <c r="Q15" i="10" s="1"/>
  <c r="R15" i="10" s="1"/>
  <c r="J14" i="10"/>
  <c r="J13" i="10"/>
  <c r="Q13" i="10" s="1" a="1"/>
  <c r="Q13" i="10" s="1"/>
  <c r="R13" i="10" s="1"/>
  <c r="J12" i="10"/>
  <c r="J11" i="10"/>
  <c r="J22" i="14"/>
  <c r="J21" i="14"/>
  <c r="J20" i="14"/>
  <c r="J18" i="14"/>
  <c r="J17" i="14"/>
  <c r="J16" i="14"/>
  <c r="J15" i="14"/>
  <c r="J14" i="14"/>
  <c r="J13" i="14"/>
  <c r="J12" i="14"/>
  <c r="J11" i="14"/>
  <c r="J19" i="14"/>
  <c r="Q22" i="10" a="1"/>
  <c r="Q22" i="10" s="1"/>
  <c r="R22" i="10" s="1"/>
  <c r="Q20" i="10" a="1"/>
  <c r="Q20" i="10" s="1"/>
  <c r="R20" i="10" s="1"/>
  <c r="Q19" i="10" a="1"/>
  <c r="Q19" i="10" s="1"/>
  <c r="R19" i="10" s="1"/>
  <c r="Q18" i="10" a="1"/>
  <c r="Q18" i="10" s="1"/>
  <c r="R18" i="10" s="1"/>
  <c r="Q17" i="10" a="1"/>
  <c r="Q17" i="10" s="1"/>
  <c r="R17" i="10" s="1"/>
  <c r="Q16" i="10" a="1"/>
  <c r="Q16" i="10" s="1"/>
  <c r="R16" i="10" s="1"/>
  <c r="Q14" i="10" a="1"/>
  <c r="Q14" i="10" s="1"/>
  <c r="R14" i="10" s="1"/>
  <c r="Q12" i="10" a="1"/>
  <c r="Q12" i="10" s="1"/>
  <c r="R12" i="10" s="1"/>
  <c r="Q11" i="10" a="1"/>
  <c r="Q11" i="10" s="1"/>
  <c r="R11" i="10" s="1"/>
  <c r="U22" i="3" l="1" a="1"/>
  <c r="U22" i="3" s="1"/>
  <c r="V22" i="3" s="1"/>
  <c r="U21" i="3" a="1"/>
  <c r="U21" i="3" s="1"/>
  <c r="V21" i="3" s="1"/>
  <c r="U19" i="3" a="1"/>
  <c r="U19" i="3" s="1"/>
  <c r="V19" i="3" s="1"/>
  <c r="U18" i="3" a="1"/>
  <c r="U18" i="3" s="1"/>
  <c r="V18" i="3" s="1"/>
  <c r="U17" i="3" a="1"/>
  <c r="U17" i="3" s="1"/>
  <c r="V17" i="3" s="1"/>
  <c r="U16" i="3" a="1"/>
  <c r="U16" i="3" s="1"/>
  <c r="V16" i="3" s="1"/>
  <c r="U15" i="3" a="1"/>
  <c r="U15" i="3" s="1"/>
  <c r="V15" i="3" s="1"/>
  <c r="U14" i="3" a="1"/>
  <c r="U14" i="3" s="1"/>
  <c r="V14" i="3" s="1"/>
  <c r="U13" i="3" a="1"/>
  <c r="U13" i="3" s="1"/>
  <c r="V13" i="3" s="1"/>
  <c r="U12" i="3" a="1"/>
  <c r="U12" i="3" s="1"/>
  <c r="V12" i="3" s="1"/>
  <c r="U11" i="3" a="1"/>
  <c r="U11" i="3" s="1"/>
  <c r="V11" i="3" s="1"/>
  <c r="U11" i="2" a="1"/>
  <c r="U11" i="2" s="1"/>
  <c r="V11" i="2" s="1"/>
  <c r="U22" i="2" a="1"/>
  <c r="U22" i="2" s="1"/>
  <c r="V22" i="2" s="1"/>
  <c r="U21" i="2" a="1"/>
  <c r="U21" i="2" s="1"/>
  <c r="V21" i="2" s="1"/>
  <c r="U20" i="2" a="1"/>
  <c r="U20" i="2" s="1"/>
  <c r="V20" i="2" s="1"/>
  <c r="U19" i="2" a="1"/>
  <c r="U19" i="2" s="1"/>
  <c r="V19" i="2" s="1"/>
  <c r="U18" i="2" a="1"/>
  <c r="U18" i="2" s="1"/>
  <c r="V18" i="2" s="1"/>
  <c r="U17" i="2" a="1"/>
  <c r="U17" i="2" s="1"/>
  <c r="V17" i="2" s="1"/>
  <c r="U16" i="2" a="1"/>
  <c r="U16" i="2" s="1"/>
  <c r="V16" i="2" s="1"/>
  <c r="U15" i="2" a="1"/>
  <c r="U15" i="2" s="1"/>
  <c r="V15" i="2" s="1"/>
  <c r="U14" i="2" a="1"/>
  <c r="U14" i="2" s="1"/>
  <c r="V14" i="2" s="1"/>
  <c r="U13" i="2" a="1"/>
  <c r="U13" i="2" s="1"/>
  <c r="V13" i="2" s="1"/>
  <c r="U12" i="2" a="1"/>
  <c r="U12" i="2" s="1"/>
  <c r="V12" i="2" s="1"/>
  <c r="H22" i="2"/>
  <c r="M22" i="2" s="1"/>
  <c r="H21" i="2"/>
  <c r="H20" i="2"/>
  <c r="H19" i="2"/>
  <c r="H12" i="2"/>
  <c r="H14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22" i="3"/>
  <c r="L22" i="3"/>
  <c r="M21" i="3"/>
  <c r="L21" i="3"/>
  <c r="M20" i="3"/>
  <c r="U20" i="3" s="1" a="1"/>
  <c r="U20" i="3" s="1"/>
  <c r="V20" i="3" s="1"/>
  <c r="L20" i="3"/>
  <c r="M18" i="3"/>
  <c r="L18" i="3"/>
  <c r="M17" i="3"/>
  <c r="L17" i="3"/>
  <c r="M16" i="3"/>
  <c r="L16" i="3"/>
  <c r="M15" i="3"/>
  <c r="L15" i="3"/>
  <c r="M14" i="3"/>
  <c r="L14" i="3"/>
  <c r="M13" i="3"/>
  <c r="L13" i="3"/>
  <c r="M12" i="3"/>
  <c r="L12" i="3"/>
  <c r="M11" i="3"/>
  <c r="L11" i="3"/>
  <c r="L19" i="3"/>
  <c r="M19" i="3"/>
  <c r="H18" i="3"/>
  <c r="H21" i="3"/>
  <c r="H22" i="3"/>
  <c r="H17" i="3"/>
  <c r="E7" i="13"/>
  <c r="B4" i="13"/>
  <c r="T11" i="14" l="1"/>
  <c r="O11" i="14"/>
  <c r="P11" i="14" s="1"/>
  <c r="M11" i="14"/>
  <c r="N11" i="14" s="1"/>
  <c r="M13" i="9"/>
  <c r="N13" i="9"/>
  <c r="O13" i="9"/>
  <c r="P13" i="9" s="1"/>
  <c r="T13" i="9"/>
  <c r="M14" i="9"/>
  <c r="N14" i="9" s="1"/>
  <c r="O14" i="9"/>
  <c r="P14" i="9" s="1"/>
  <c r="T14" i="9"/>
  <c r="M15" i="9"/>
  <c r="N15" i="9" s="1"/>
  <c r="O15" i="9"/>
  <c r="P15" i="9" s="1"/>
  <c r="T15" i="9"/>
  <c r="M16" i="9"/>
  <c r="N16" i="9" s="1"/>
  <c r="O16" i="9"/>
  <c r="P16" i="9" s="1"/>
  <c r="T16" i="9"/>
  <c r="M17" i="9"/>
  <c r="N17" i="9" s="1"/>
  <c r="O17" i="9"/>
  <c r="P17" i="9" s="1"/>
  <c r="T17" i="9"/>
  <c r="M18" i="9"/>
  <c r="N18" i="9" s="1"/>
  <c r="O18" i="9"/>
  <c r="P18" i="9" s="1"/>
  <c r="T18" i="9"/>
  <c r="M19" i="9"/>
  <c r="N19" i="9" s="1"/>
  <c r="O19" i="9"/>
  <c r="P19" i="9" s="1"/>
  <c r="T19" i="9"/>
  <c r="M20" i="9"/>
  <c r="N20" i="9" s="1"/>
  <c r="O20" i="9"/>
  <c r="P20" i="9" s="1"/>
  <c r="T20" i="9"/>
  <c r="M21" i="9"/>
  <c r="N21" i="9" s="1"/>
  <c r="O21" i="9"/>
  <c r="P21" i="9" s="1"/>
  <c r="T21" i="9"/>
  <c r="M22" i="9"/>
  <c r="N22" i="9" s="1"/>
  <c r="O22" i="9"/>
  <c r="P22" i="9" s="1"/>
  <c r="T22" i="9"/>
  <c r="O13" i="10"/>
  <c r="O19" i="10"/>
  <c r="M21" i="10"/>
  <c r="M13" i="10"/>
  <c r="T13" i="10"/>
  <c r="T14" i="10"/>
  <c r="T15" i="10"/>
  <c r="T16" i="10"/>
  <c r="M17" i="10"/>
  <c r="O17" i="10"/>
  <c r="T17" i="10"/>
  <c r="T18" i="10"/>
  <c r="T19" i="10"/>
  <c r="M20" i="10"/>
  <c r="N20" i="10" s="1"/>
  <c r="O20" i="10"/>
  <c r="P20" i="10" s="1"/>
  <c r="T20" i="10"/>
  <c r="T21" i="10"/>
  <c r="M22" i="10"/>
  <c r="N22" i="10" s="1"/>
  <c r="O22" i="10"/>
  <c r="P22" i="10" s="1"/>
  <c r="T22" i="10"/>
  <c r="O21" i="10" l="1"/>
  <c r="P21" i="10" s="1"/>
  <c r="M19" i="10"/>
  <c r="N19" i="10" s="1"/>
  <c r="O15" i="10"/>
  <c r="P15" i="10" s="1"/>
  <c r="M15" i="10"/>
  <c r="N15" i="10" s="1"/>
  <c r="N21" i="10"/>
  <c r="P19" i="10"/>
  <c r="N17" i="10"/>
  <c r="P17" i="10"/>
  <c r="P13" i="10"/>
  <c r="N13" i="10"/>
  <c r="O18" i="10"/>
  <c r="P18" i="10" s="1"/>
  <c r="O16" i="10"/>
  <c r="P16" i="10" s="1"/>
  <c r="M18" i="10"/>
  <c r="N18" i="10" s="1"/>
  <c r="M16" i="10"/>
  <c r="N16" i="10" s="1"/>
  <c r="O14" i="10"/>
  <c r="P14" i="10" s="1"/>
  <c r="M14" i="10"/>
  <c r="N14" i="10" s="1"/>
  <c r="C5" i="14" l="1"/>
  <c r="C7" i="14" l="1"/>
  <c r="C6" i="14"/>
  <c r="O11" i="9" l="1"/>
  <c r="O11" i="10"/>
  <c r="O11" i="6"/>
  <c r="T12" i="9"/>
  <c r="O12" i="9"/>
  <c r="T11" i="9"/>
  <c r="M11" i="9"/>
  <c r="T12" i="10"/>
  <c r="T11" i="10"/>
  <c r="O12" i="10" l="1"/>
  <c r="P12" i="10" s="1"/>
  <c r="P11" i="9"/>
  <c r="M12" i="9"/>
  <c r="P12" i="9"/>
  <c r="N11" i="9"/>
  <c r="M12" i="10"/>
  <c r="N12" i="10" s="1"/>
  <c r="M11" i="10"/>
  <c r="N11" i="10" s="1"/>
  <c r="P11" i="10"/>
  <c r="T11" i="5"/>
  <c r="J11" i="5"/>
  <c r="O11" i="5" s="1"/>
  <c r="C5" i="9" l="1"/>
  <c r="C12" i="7" s="1"/>
  <c r="G12" i="7" s="1"/>
  <c r="N12" i="9"/>
  <c r="C6" i="9" s="1"/>
  <c r="D12" i="7" s="1"/>
  <c r="H12" i="7" s="1"/>
  <c r="C7" i="10"/>
  <c r="C6" i="10"/>
  <c r="D11" i="7" s="1"/>
  <c r="H11" i="7" s="1"/>
  <c r="C5" i="10"/>
  <c r="C11" i="7" s="1"/>
  <c r="G11" i="7" s="1"/>
  <c r="H14" i="7"/>
  <c r="G14" i="7"/>
  <c r="T11" i="6"/>
  <c r="P11" i="6"/>
  <c r="M11" i="6"/>
  <c r="P11" i="5"/>
  <c r="X22" i="3"/>
  <c r="X20" i="3"/>
  <c r="X19" i="3"/>
  <c r="S19" i="3"/>
  <c r="X17" i="3"/>
  <c r="X16" i="3"/>
  <c r="Q16" i="3"/>
  <c r="R16" i="3" s="1"/>
  <c r="S16" i="3"/>
  <c r="X15" i="3"/>
  <c r="S15" i="3"/>
  <c r="X14" i="3"/>
  <c r="S14" i="3"/>
  <c r="X13" i="3"/>
  <c r="S13" i="3"/>
  <c r="X12" i="3"/>
  <c r="Q12" i="3"/>
  <c r="X20" i="2"/>
  <c r="X19" i="2"/>
  <c r="X16" i="2"/>
  <c r="X15" i="2"/>
  <c r="X14" i="2"/>
  <c r="X13" i="2"/>
  <c r="X12" i="2"/>
  <c r="N12" i="3" l="1"/>
  <c r="S12" i="3"/>
  <c r="R12" i="3"/>
  <c r="G13" i="7"/>
  <c r="T16" i="3"/>
  <c r="C7" i="9"/>
  <c r="E4" i="13"/>
  <c r="F5" i="13" s="1"/>
  <c r="E6" i="13"/>
  <c r="F7" i="13" s="1"/>
  <c r="F8" i="13"/>
  <c r="E5" i="13"/>
  <c r="F6" i="13" s="1"/>
  <c r="C5" i="6"/>
  <c r="C10" i="7" s="1"/>
  <c r="G10" i="7" s="1"/>
  <c r="N11" i="6"/>
  <c r="M11" i="5"/>
  <c r="N11" i="5" s="1"/>
  <c r="X21" i="3"/>
  <c r="Q22" i="3"/>
  <c r="R22" i="3" s="1"/>
  <c r="X11" i="3"/>
  <c r="T19" i="3"/>
  <c r="T13" i="3"/>
  <c r="T14" i="3"/>
  <c r="Q11" i="3"/>
  <c r="T15" i="3"/>
  <c r="S18" i="3"/>
  <c r="X18" i="3"/>
  <c r="T12" i="3"/>
  <c r="N16" i="3"/>
  <c r="S17" i="3"/>
  <c r="Q20" i="3"/>
  <c r="R20" i="3" s="1"/>
  <c r="S11" i="3"/>
  <c r="S12" i="2"/>
  <c r="S20" i="10" l="1"/>
  <c r="S11" i="14"/>
  <c r="S13" i="9"/>
  <c r="S19" i="9"/>
  <c r="S16" i="9"/>
  <c r="S22" i="10"/>
  <c r="S15" i="9"/>
  <c r="S18" i="9"/>
  <c r="S22" i="9"/>
  <c r="S13" i="10"/>
  <c r="S20" i="9"/>
  <c r="S21" i="9"/>
  <c r="S21" i="10"/>
  <c r="S14" i="10"/>
  <c r="S14" i="9"/>
  <c r="S17" i="9"/>
  <c r="S17" i="10"/>
  <c r="S18" i="10"/>
  <c r="S19" i="10"/>
  <c r="S16" i="10"/>
  <c r="S15" i="10"/>
  <c r="S11" i="10"/>
  <c r="S11" i="9"/>
  <c r="S12" i="9"/>
  <c r="S12" i="10"/>
  <c r="N12" i="2"/>
  <c r="H13" i="7"/>
  <c r="S20" i="3"/>
  <c r="T20" i="3" s="1"/>
  <c r="S22" i="3"/>
  <c r="T22" i="3" s="1"/>
  <c r="W11" i="3"/>
  <c r="W12" i="3"/>
  <c r="Q11" i="6" a="1"/>
  <c r="Q11" i="6" s="1"/>
  <c r="R11" i="6" s="1"/>
  <c r="S11" i="6" s="1"/>
  <c r="W16" i="3"/>
  <c r="W20" i="3"/>
  <c r="C7" i="6"/>
  <c r="C6" i="6"/>
  <c r="D10" i="7" s="1"/>
  <c r="H10" i="7" s="1"/>
  <c r="Q11" i="5" a="1"/>
  <c r="Q11" i="5" s="1"/>
  <c r="R11" i="5" s="1"/>
  <c r="S11" i="5" s="1"/>
  <c r="N20" i="3"/>
  <c r="W22" i="3"/>
  <c r="W21" i="3"/>
  <c r="N22" i="3"/>
  <c r="Q14" i="3"/>
  <c r="R14" i="3" s="1"/>
  <c r="W14" i="3"/>
  <c r="N14" i="3"/>
  <c r="Q15" i="3"/>
  <c r="R15" i="3" s="1"/>
  <c r="W15" i="3"/>
  <c r="W19" i="3"/>
  <c r="Q19" i="3"/>
  <c r="R19" i="3" s="1"/>
  <c r="Q13" i="3"/>
  <c r="R13" i="3" s="1"/>
  <c r="W13" i="3"/>
  <c r="N15" i="3"/>
  <c r="N11" i="3"/>
  <c r="T11" i="3"/>
  <c r="R11" i="3"/>
  <c r="N17" i="3"/>
  <c r="T17" i="3"/>
  <c r="N19" i="3"/>
  <c r="W18" i="3"/>
  <c r="Q18" i="3"/>
  <c r="R18" i="3" s="1"/>
  <c r="Q17" i="3"/>
  <c r="R17" i="3" s="1"/>
  <c r="W17" i="3"/>
  <c r="N18" i="3"/>
  <c r="T18" i="3"/>
  <c r="N13" i="3"/>
  <c r="Q12" i="2"/>
  <c r="R12" i="2" s="1"/>
  <c r="T12" i="2"/>
  <c r="S19" i="2"/>
  <c r="S20" i="2"/>
  <c r="S13" i="2"/>
  <c r="S15" i="2"/>
  <c r="S16" i="2"/>
  <c r="S14" i="2"/>
  <c r="X21" i="2"/>
  <c r="X22" i="2"/>
  <c r="X11" i="2"/>
  <c r="X17" i="2"/>
  <c r="X18" i="2"/>
  <c r="J9" i="8" l="1" a="1"/>
  <c r="J9" i="8" s="1"/>
  <c r="J8" i="8" a="1"/>
  <c r="J8" i="8" s="1"/>
  <c r="L8" i="8" a="1"/>
  <c r="L8" i="8" s="1"/>
  <c r="L9" i="8" a="1"/>
  <c r="L9" i="8" s="1"/>
  <c r="L4" i="8" a="1"/>
  <c r="L4" i="8" s="1"/>
  <c r="L5" i="8" a="1"/>
  <c r="L5" i="8" s="1"/>
  <c r="L6" i="8" a="1"/>
  <c r="L6" i="8" s="1"/>
  <c r="L7" i="8" a="1"/>
  <c r="L7" i="8" s="1"/>
  <c r="J5" i="8" a="1"/>
  <c r="J5" i="8" s="1"/>
  <c r="J6" i="8" a="1"/>
  <c r="J6" i="8" s="1"/>
  <c r="J7" i="8" a="1"/>
  <c r="J7" i="8" s="1"/>
  <c r="J4" i="8" a="1"/>
  <c r="J4" i="8" s="1"/>
  <c r="L11" i="8" a="1"/>
  <c r="L11" i="8" s="1"/>
  <c r="L12" i="8" a="1"/>
  <c r="L12" i="8" s="1"/>
  <c r="L13" i="8" a="1"/>
  <c r="L13" i="8" s="1"/>
  <c r="L10" i="8" a="1"/>
  <c r="L10" i="8" s="1"/>
  <c r="L14" i="8" a="1"/>
  <c r="L14" i="8" s="1"/>
  <c r="J10" i="8" a="1"/>
  <c r="J10" i="8" s="1"/>
  <c r="J11" i="8" a="1"/>
  <c r="J11" i="8" s="1"/>
  <c r="J13" i="8" a="1"/>
  <c r="J13" i="8" s="1"/>
  <c r="J14" i="8" a="1"/>
  <c r="J14" i="8" s="1"/>
  <c r="J12" i="8" a="1"/>
  <c r="J12" i="8" s="1"/>
  <c r="K6" i="8" a="1"/>
  <c r="K6" i="8" s="1"/>
  <c r="K7" i="8" a="1"/>
  <c r="K7" i="8" s="1"/>
  <c r="K3" i="8" a="1"/>
  <c r="K3" i="8" s="1"/>
  <c r="K4" i="8" a="1"/>
  <c r="K4" i="8" s="1"/>
  <c r="K5" i="8" a="1"/>
  <c r="K5" i="8" s="1"/>
  <c r="K14" i="8" a="1"/>
  <c r="K14" i="8" s="1"/>
  <c r="K10" i="8" a="1"/>
  <c r="K10" i="8" s="1"/>
  <c r="K11" i="8" a="1"/>
  <c r="K11" i="8" s="1"/>
  <c r="K12" i="8" a="1"/>
  <c r="K12" i="8" s="1"/>
  <c r="K13" i="8" a="1"/>
  <c r="K13" i="8" s="1"/>
  <c r="K8" i="8" a="1"/>
  <c r="K8" i="8" s="1"/>
  <c r="K9" i="8" a="1"/>
  <c r="K9" i="8" s="1"/>
  <c r="S21" i="3"/>
  <c r="T21" i="3" s="1"/>
  <c r="W12" i="2"/>
  <c r="C6" i="5"/>
  <c r="D9" i="7" s="1"/>
  <c r="H9" i="7" s="1"/>
  <c r="C7" i="5"/>
  <c r="C5" i="5"/>
  <c r="C9" i="7" s="1"/>
  <c r="G9" i="7" s="1"/>
  <c r="N21" i="3"/>
  <c r="Q21" i="3"/>
  <c r="R21" i="3" s="1"/>
  <c r="Q13" i="2"/>
  <c r="R13" i="2" s="1"/>
  <c r="Q19" i="2"/>
  <c r="R19" i="2" s="1"/>
  <c r="Q14" i="2"/>
  <c r="R14" i="2" s="1"/>
  <c r="Q20" i="2"/>
  <c r="R20" i="2" s="1"/>
  <c r="Q16" i="2"/>
  <c r="R16" i="2" s="1"/>
  <c r="Q15" i="2"/>
  <c r="R15" i="2" s="1"/>
  <c r="T15" i="2"/>
  <c r="T20" i="2"/>
  <c r="T13" i="2"/>
  <c r="T19" i="2"/>
  <c r="T14" i="2"/>
  <c r="T16" i="2"/>
  <c r="N15" i="2"/>
  <c r="N20" i="2"/>
  <c r="N16" i="2"/>
  <c r="N13" i="2"/>
  <c r="N14" i="2"/>
  <c r="N19" i="2"/>
  <c r="S21" i="2"/>
  <c r="S22" i="2"/>
  <c r="S18" i="2"/>
  <c r="S17" i="2"/>
  <c r="S11" i="2"/>
  <c r="C7" i="3" l="1"/>
  <c r="C5" i="3"/>
  <c r="C8" i="7" s="1"/>
  <c r="G8" i="7" s="1"/>
  <c r="W16" i="2"/>
  <c r="C6" i="3"/>
  <c r="D8" i="7" s="1"/>
  <c r="H8" i="7" s="1"/>
  <c r="W13" i="2"/>
  <c r="W20" i="2"/>
  <c r="W15" i="2"/>
  <c r="W14" i="2"/>
  <c r="W19" i="2"/>
  <c r="Q18" i="2"/>
  <c r="R18" i="2" s="1"/>
  <c r="Q17" i="2"/>
  <c r="R17" i="2" s="1"/>
  <c r="Q22" i="2"/>
  <c r="R22" i="2" s="1"/>
  <c r="Q21" i="2"/>
  <c r="R21" i="2" s="1"/>
  <c r="Q11" i="2"/>
  <c r="T18" i="2"/>
  <c r="T22" i="2"/>
  <c r="T21" i="2"/>
  <c r="T17" i="2"/>
  <c r="T11" i="2"/>
  <c r="N18" i="2"/>
  <c r="N21" i="2"/>
  <c r="N22" i="2"/>
  <c r="N11" i="2"/>
  <c r="N17" i="2"/>
  <c r="W21" i="2" l="1"/>
  <c r="W17" i="2"/>
  <c r="W18" i="2"/>
  <c r="W22" i="2"/>
  <c r="C5" i="2"/>
  <c r="C7" i="7" s="1"/>
  <c r="R11" i="2"/>
  <c r="H13" i="8" l="1" a="1"/>
  <c r="H13" i="8" s="1"/>
  <c r="H14" i="8" a="1"/>
  <c r="H14" i="8" s="1"/>
  <c r="G7" i="7"/>
  <c r="D2" i="7" s="1"/>
  <c r="G2" i="7" s="1" a="1"/>
  <c r="G2" i="7" s="1"/>
  <c r="H2" i="7" s="1"/>
  <c r="E2" i="7" s="1"/>
  <c r="W11" i="2"/>
  <c r="C6" i="2"/>
  <c r="D7" i="7" s="1"/>
  <c r="H7" i="7" s="1"/>
  <c r="C7" i="2"/>
  <c r="H7" i="8" l="1" a="1"/>
  <c r="H7" i="8" s="1"/>
  <c r="H6" i="8" a="1"/>
  <c r="H6" i="8" s="1"/>
  <c r="H8" i="8" a="1"/>
  <c r="H8" i="8" s="1"/>
  <c r="H12" i="8" a="1"/>
  <c r="H12" i="8" s="1"/>
  <c r="H11" i="8" a="1"/>
  <c r="H11" i="8" s="1"/>
  <c r="H9" i="8" a="1"/>
  <c r="H9" i="8" s="1"/>
  <c r="H10" i="8" a="1"/>
  <c r="H10" i="8" s="1"/>
  <c r="F9" i="8" a="1"/>
  <c r="F9" i="8" s="1"/>
  <c r="F11" i="8" a="1"/>
  <c r="F11" i="8" s="1"/>
  <c r="F8" i="8" a="1"/>
  <c r="F8" i="8" s="1"/>
  <c r="F6" i="8" a="1"/>
  <c r="F6" i="8" s="1"/>
  <c r="F10" i="8" a="1"/>
  <c r="F10" i="8" s="1"/>
  <c r="F7" i="8" a="1"/>
  <c r="F7" i="8" s="1"/>
  <c r="F4" i="8" a="1"/>
  <c r="F4" i="8" s="1"/>
  <c r="F5" i="8" a="1"/>
  <c r="F5" i="8" s="1"/>
  <c r="F14" i="8" a="1"/>
  <c r="F14" i="8" s="1"/>
  <c r="F12" i="8" a="1"/>
  <c r="F12" i="8" s="1"/>
  <c r="F13" i="8" a="1"/>
  <c r="F13" i="8" s="1"/>
  <c r="G5" i="8" a="1"/>
  <c r="G5" i="8" s="1"/>
  <c r="G6" i="8" a="1"/>
  <c r="G6" i="8" s="1"/>
  <c r="G13" i="8" a="1"/>
  <c r="G13" i="8" s="1"/>
  <c r="G7" i="8" a="1"/>
  <c r="G7" i="8" s="1"/>
  <c r="G11" i="8" a="1"/>
  <c r="G11" i="8" s="1"/>
  <c r="G12" i="8" a="1"/>
  <c r="G12" i="8" s="1"/>
  <c r="G10" i="8" a="1"/>
  <c r="G10" i="8" s="1"/>
  <c r="G14" i="8" a="1"/>
  <c r="G14" i="8" s="1"/>
  <c r="G9" i="8" a="1"/>
  <c r="G9" i="8" s="1"/>
  <c r="G8" i="8" a="1"/>
  <c r="G8" i="8" s="1"/>
  <c r="H4" i="8" a="1"/>
  <c r="H4" i="8" s="1"/>
  <c r="H3" i="8" a="1"/>
  <c r="H3" i="8" s="1"/>
  <c r="H5" i="8" a="1"/>
  <c r="H5" i="8" s="1"/>
  <c r="I10" i="8" a="1"/>
  <c r="I10" i="8" s="1"/>
  <c r="I4" i="8" a="1"/>
  <c r="I4" i="8" s="1"/>
  <c r="I11" i="8" a="1"/>
  <c r="I11" i="8" s="1"/>
  <c r="I5" i="8" a="1"/>
  <c r="I5" i="8" s="1"/>
  <c r="I7" i="8" a="1"/>
  <c r="I7" i="8" s="1"/>
  <c r="I13" i="8" a="1"/>
  <c r="I13" i="8" s="1"/>
  <c r="I14" i="8" a="1"/>
  <c r="I14" i="8" s="1"/>
  <c r="I8" i="8" a="1"/>
  <c r="I8" i="8" s="1"/>
  <c r="I9" i="8" a="1"/>
  <c r="I9" i="8" s="1"/>
  <c r="I3" i="8" a="1"/>
  <c r="I3" i="8" s="1"/>
  <c r="I6" i="8" a="1"/>
  <c r="I6" i="8" s="1"/>
  <c r="I12" i="8" a="1"/>
  <c r="I12" i="8" s="1"/>
  <c r="G4" i="8" a="1"/>
  <c r="G4" i="8" s="1"/>
  <c r="D3" i="7"/>
  <c r="G3" i="7" s="1" a="1"/>
  <c r="G3" i="7" s="1"/>
  <c r="H3" i="7" s="1"/>
  <c r="E3" i="7" s="1"/>
  <c r="D9" i="8" l="1"/>
  <c r="E9" i="8"/>
  <c r="D10" i="8"/>
  <c r="E10" i="8"/>
  <c r="D8" i="8"/>
  <c r="E8" i="8"/>
  <c r="E3" i="8"/>
  <c r="D3" i="8"/>
  <c r="E14" i="8"/>
  <c r="D14" i="8"/>
  <c r="E13" i="8"/>
  <c r="D13" i="8"/>
  <c r="D7" i="8"/>
  <c r="E7" i="8"/>
  <c r="E12" i="8"/>
  <c r="D12" i="8"/>
  <c r="E5" i="8"/>
  <c r="D5" i="8"/>
  <c r="E6" i="8"/>
  <c r="D6" i="8"/>
  <c r="E11" i="8"/>
  <c r="D11" i="8"/>
  <c r="E4" i="8"/>
  <c r="D4" i="8"/>
</calcChain>
</file>

<file path=xl/sharedStrings.xml><?xml version="1.0" encoding="utf-8"?>
<sst xmlns="http://schemas.openxmlformats.org/spreadsheetml/2006/main" count="549" uniqueCount="111">
  <si>
    <t>Vaknaam</t>
  </si>
  <si>
    <t>Begin metrering</t>
  </si>
  <si>
    <t>Eindmetering</t>
  </si>
  <si>
    <t>Is relevant</t>
  </si>
  <si>
    <t>Faalkans initieel mechanisme doorsnede</t>
  </si>
  <si>
    <t>Faalkans initieel mechanisme vak</t>
  </si>
  <si>
    <t>Aangescherpte faalkans doorsnede</t>
  </si>
  <si>
    <t>Aangescherpte faalkans vak</t>
  </si>
  <si>
    <t>Vak 1</t>
  </si>
  <si>
    <t>Vak 2</t>
  </si>
  <si>
    <t>Vak 3</t>
  </si>
  <si>
    <t>Vak 4</t>
  </si>
  <si>
    <t>Vak 5</t>
  </si>
  <si>
    <t>Vak 6</t>
  </si>
  <si>
    <t>Vak 7</t>
  </si>
  <si>
    <t>Vak 8</t>
  </si>
  <si>
    <t>Vak 9</t>
  </si>
  <si>
    <t>Vak 10</t>
  </si>
  <si>
    <t>Vak 11</t>
  </si>
  <si>
    <t>Vak 12</t>
  </si>
  <si>
    <t>Ja</t>
  </si>
  <si>
    <t>Nee</t>
  </si>
  <si>
    <t>Is vervolganalyse nodig</t>
  </si>
  <si>
    <t>Resultaat initieel faalmechanisme</t>
  </si>
  <si>
    <t>Handmatig invullen</t>
  </si>
  <si>
    <t>Geen faalkans</t>
  </si>
  <si>
    <t>Overnemen</t>
  </si>
  <si>
    <t>Faalkans per doorsnede</t>
  </si>
  <si>
    <t>Faalkans per vak</t>
  </si>
  <si>
    <t>Resulterende Nvak</t>
  </si>
  <si>
    <t>Duidingsklasse faalkans per vak</t>
  </si>
  <si>
    <t>Signaleringskans</t>
  </si>
  <si>
    <t>Ondergrens</t>
  </si>
  <si>
    <t>A+</t>
  </si>
  <si>
    <t>A</t>
  </si>
  <si>
    <t>B</t>
  </si>
  <si>
    <t>C</t>
  </si>
  <si>
    <t>D</t>
  </si>
  <si>
    <t>Categorie</t>
  </si>
  <si>
    <t>Bovengrens</t>
  </si>
  <si>
    <t>Normcategorien</t>
  </si>
  <si>
    <t>Faalkans tussentijds</t>
  </si>
  <si>
    <t>1-Pfalen</t>
  </si>
  <si>
    <t>1-Pfalen tussentijds</t>
  </si>
  <si>
    <t>Ntraject</t>
  </si>
  <si>
    <t>Pfdrs*Ntraject</t>
  </si>
  <si>
    <t>Pfdrs*Ntraject tussentijds</t>
  </si>
  <si>
    <t>Faalkans</t>
  </si>
  <si>
    <t>Vakken gecorreleerd?</t>
  </si>
  <si>
    <t>Faalpad</t>
  </si>
  <si>
    <t>Piping</t>
  </si>
  <si>
    <t>Mogelijkheden initiele faalkans met berekening</t>
  </si>
  <si>
    <t>Mogelijkheden initiele faalkans zonder berekening</t>
  </si>
  <si>
    <t>Traject</t>
  </si>
  <si>
    <t>+III</t>
  </si>
  <si>
    <t>+II</t>
  </si>
  <si>
    <t>+I</t>
  </si>
  <si>
    <t>+0</t>
  </si>
  <si>
    <t>-I</t>
  </si>
  <si>
    <t>-II</t>
  </si>
  <si>
    <t>-III</t>
  </si>
  <si>
    <t>ND</t>
  </si>
  <si>
    <t>Grens duidingscategorie</t>
  </si>
  <si>
    <t>Index duidingscategorie</t>
  </si>
  <si>
    <t>Dominant and problem?</t>
  </si>
  <si>
    <t>Hulpkolommen</t>
  </si>
  <si>
    <t>Macrostabiliteit</t>
  </si>
  <si>
    <t>Erosie van het buitentalud</t>
  </si>
  <si>
    <t>Duinafslag</t>
  </si>
  <si>
    <t>STPH</t>
  </si>
  <si>
    <t>STBI</t>
  </si>
  <si>
    <t>GEKB</t>
  </si>
  <si>
    <t>DA</t>
  </si>
  <si>
    <t>STKWp</t>
  </si>
  <si>
    <t>HTKW</t>
  </si>
  <si>
    <t>Overstromingskans traject (tussentijds)</t>
  </si>
  <si>
    <t>Overstromingskans traject</t>
  </si>
  <si>
    <t>Faalkans handmatig</t>
  </si>
  <si>
    <t>1-Pf</t>
  </si>
  <si>
    <t>1-Pf tussentijds</t>
  </si>
  <si>
    <t>Eind metrering</t>
  </si>
  <si>
    <t>Pfvak*Ntraject</t>
  </si>
  <si>
    <t>Pfvak*Ntraject tussentijds</t>
  </si>
  <si>
    <t>Faalpaden</t>
  </si>
  <si>
    <t>Gekoppeld aan berekening in Riskeer</t>
  </si>
  <si>
    <t>Lengte-effect binnen een vak</t>
  </si>
  <si>
    <t>CODE</t>
  </si>
  <si>
    <t>Falen bekledingen buitentalud</t>
  </si>
  <si>
    <t>Hoogte kunstwerken</t>
  </si>
  <si>
    <t>Piping bij kunstwerken</t>
  </si>
  <si>
    <t>Sterkte en stabiliteit puntconstructies</t>
  </si>
  <si>
    <t>Betrouwbaarheid sluiting</t>
  </si>
  <si>
    <t>Bezwijken bekleding kruin en binnentalud</t>
  </si>
  <si>
    <t>BSKW</t>
  </si>
  <si>
    <t>Hydraulische belastingen in Riskeer</t>
  </si>
  <si>
    <t>In berekening</t>
  </si>
  <si>
    <t>Mogelijk</t>
  </si>
  <si>
    <t>GEKB?</t>
  </si>
  <si>
    <t>PKW</t>
  </si>
  <si>
    <t>Handmatig toegevoegd faalpad</t>
  </si>
  <si>
    <t>n.v.t.</t>
  </si>
  <si>
    <t>Klasse</t>
  </si>
  <si>
    <t>Duidingsklassen</t>
  </si>
  <si>
    <t>DEBU?</t>
  </si>
  <si>
    <t>Sterkte puntconstructies</t>
  </si>
  <si>
    <t>WMD01</t>
  </si>
  <si>
    <t>Gecombineerd</t>
  </si>
  <si>
    <t>16-5</t>
  </si>
  <si>
    <t>Trajectlengte</t>
  </si>
  <si>
    <t>Lengte-effect</t>
  </si>
  <si>
    <t>Gecombineerd (tussentijds)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</si>
</sst>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8EDA9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00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2" xfId="0" applyBorder="1"/>
    <xf numFmtId="0" fontId="0" fillId="0" borderId="3" xfId="0" applyBorder="1"/>
    <xf numFmtId="11" fontId="0" fillId="0" borderId="3" xfId="0" applyNumberFormat="1" applyBorder="1"/>
    <xf numFmtId="2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11" fontId="0" fillId="0" borderId="0" xfId="0" applyNumberFormat="1" applyBorder="1"/>
    <xf numFmtId="2" fontId="0" fillId="0" borderId="0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1" fontId="0" fillId="0" borderId="8" xfId="0" applyNumberFormat="1" applyBorder="1"/>
    <xf numFmtId="2" fontId="0" fillId="0" borderId="8" xfId="0" applyNumberFormat="1" applyBorder="1"/>
    <xf numFmtId="0" fontId="0" fillId="0" borderId="9" xfId="0" applyBorder="1"/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11" fontId="0" fillId="0" borderId="4" xfId="0" applyNumberFormat="1" applyBorder="1"/>
    <xf numFmtId="11" fontId="0" fillId="0" borderId="6" xfId="0" applyNumberFormat="1" applyBorder="1"/>
    <xf numFmtId="11" fontId="0" fillId="0" borderId="9" xfId="0" applyNumberFormat="1" applyBorder="1"/>
    <xf numFmtId="49" fontId="0" fillId="0" borderId="0" xfId="0" applyNumberFormat="1"/>
    <xf numFmtId="11" fontId="0" fillId="0" borderId="2" xfId="0" applyNumberFormat="1" applyBorder="1"/>
    <xf numFmtId="11" fontId="2" fillId="0" borderId="4" xfId="0" applyNumberFormat="1" applyFont="1" applyBorder="1"/>
    <xf numFmtId="11" fontId="0" fillId="0" borderId="5" xfId="0" applyNumberFormat="1" applyBorder="1"/>
    <xf numFmtId="11" fontId="2" fillId="0" borderId="6" xfId="0" applyNumberFormat="1" applyFont="1" applyBorder="1"/>
    <xf numFmtId="11" fontId="0" fillId="0" borderId="7" xfId="0" applyNumberFormat="1" applyBorder="1"/>
    <xf numFmtId="11" fontId="2" fillId="0" borderId="9" xfId="0" applyNumberFormat="1" applyFont="1" applyBorder="1"/>
    <xf numFmtId="0" fontId="1" fillId="0" borderId="0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Border="1"/>
    <xf numFmtId="0" fontId="1" fillId="0" borderId="7" xfId="0" applyFont="1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11" fontId="0" fillId="0" borderId="12" xfId="0" applyNumberFormat="1" applyBorder="1"/>
    <xf numFmtId="11" fontId="0" fillId="0" borderId="11" xfId="0" applyNumberFormat="1" applyBorder="1"/>
    <xf numFmtId="11" fontId="2" fillId="0" borderId="12" xfId="0" applyNumberFormat="1" applyFont="1" applyBorder="1"/>
    <xf numFmtId="0" fontId="1" fillId="0" borderId="4" xfId="0" applyFont="1" applyBorder="1"/>
    <xf numFmtId="11" fontId="0" fillId="0" borderId="14" xfId="0" applyNumberFormat="1" applyBorder="1"/>
    <xf numFmtId="0" fontId="1" fillId="0" borderId="1" xfId="0" applyFont="1" applyBorder="1"/>
    <xf numFmtId="11" fontId="0" fillId="0" borderId="15" xfId="0" applyNumberForma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49" fontId="0" fillId="7" borderId="5" xfId="0" applyNumberFormat="1" applyFill="1" applyBorder="1"/>
    <xf numFmtId="49" fontId="0" fillId="8" borderId="5" xfId="0" applyNumberFormat="1" applyFill="1" applyBorder="1"/>
    <xf numFmtId="49" fontId="0" fillId="0" borderId="5" xfId="0" applyNumberFormat="1" applyBorder="1"/>
    <xf numFmtId="49" fontId="0" fillId="4" borderId="5" xfId="0" applyNumberFormat="1" applyFill="1" applyBorder="1"/>
    <xf numFmtId="49" fontId="0" fillId="6" borderId="5" xfId="0" applyNumberFormat="1" applyFill="1" applyBorder="1"/>
    <xf numFmtId="49" fontId="0" fillId="9" borderId="5" xfId="0" applyNumberFormat="1" applyFill="1" applyBorder="1"/>
    <xf numFmtId="49" fontId="0" fillId="10" borderId="5" xfId="0" applyNumberFormat="1" applyFill="1" applyBorder="1"/>
    <xf numFmtId="49" fontId="0" fillId="0" borderId="7" xfId="0" applyNumberFormat="1" applyBorder="1"/>
    <xf numFmtId="0" fontId="0" fillId="2" borderId="2" xfId="0" applyFill="1" applyBorder="1"/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  <xf numFmtId="0" fontId="0" fillId="6" borderId="7" xfId="0" applyFill="1" applyBorder="1"/>
    <xf numFmtId="0" fontId="1" fillId="0" borderId="13" xfId="0" applyFont="1" applyBorder="1"/>
    <xf numFmtId="11" fontId="0" fillId="0" borderId="0" xfId="0" applyNumberFormat="1" applyFill="1" applyAlignment="1">
      <alignment horizontal="right"/>
    </xf>
  </cellXfs>
  <cellStyles count="1">
    <cellStyle name="Normal" xfId="0" builtinId="0"/>
  </cellStyles>
  <dxfs count="82">
    <dxf>
      <fill>
        <patternFill>
          <bgColor rgb="FF99FF33"/>
        </patternFill>
      </fill>
    </dxf>
    <dxf>
      <fill>
        <patternFill>
          <bgColor rgb="FF0099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009900"/>
      <color rgb="FF99FF33"/>
      <color rgb="FF9900FF"/>
      <color rgb="FF00CC99"/>
      <color rgb="FF00FF00"/>
      <color rgb="FF8EDA97"/>
      <color rgb="FF00CC66"/>
      <color rgb="FF339933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ieter van Geer" id="{0A6E75D8-8A15-480F-92DB-ED92D58D909F}" userId="S::Pieter.vanGeer@deltares.nl::51155608-fb11-45f7-ad8b-599d8e8749c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8833E-EC89-433E-95ED-60C9389E8606}">
  <dimension ref="B1:F21"/>
  <sheetViews>
    <sheetView workbookViewId="0">
      <selection activeCell="C5" sqref="C5"/>
    </sheetView>
  </sheetViews>
  <sheetFormatPr defaultRowHeight="15" x14ac:dyDescent="0.25"/>
  <cols>
    <col min="2" max="2" width="47.42578125" bestFit="1" customWidth="1"/>
    <col min="4" max="4" width="34.85546875" bestFit="1" customWidth="1"/>
    <col min="5" max="5" width="34.85546875" customWidth="1"/>
    <col min="6" max="6" width="27.5703125" bestFit="1" customWidth="1"/>
  </cols>
  <sheetData>
    <row r="1" spans="2:6" ht="15.75" thickBot="1" x14ac:dyDescent="0.3"/>
    <row r="2" spans="2:6" ht="15.75" thickBot="1" x14ac:dyDescent="0.3">
      <c r="B2" s="52" t="s">
        <v>83</v>
      </c>
      <c r="C2" s="53" t="s">
        <v>86</v>
      </c>
      <c r="D2" s="53" t="s">
        <v>84</v>
      </c>
      <c r="E2" s="53" t="s">
        <v>94</v>
      </c>
      <c r="F2" s="54" t="s">
        <v>85</v>
      </c>
    </row>
    <row r="3" spans="2:6" x14ac:dyDescent="0.25">
      <c r="B3" s="8" t="s">
        <v>50</v>
      </c>
      <c r="C3" s="9" t="s">
        <v>69</v>
      </c>
      <c r="D3" s="9" t="s">
        <v>20</v>
      </c>
      <c r="E3" s="9" t="s">
        <v>20</v>
      </c>
      <c r="F3" s="12" t="s">
        <v>20</v>
      </c>
    </row>
    <row r="4" spans="2:6" x14ac:dyDescent="0.25">
      <c r="B4" s="8" t="s">
        <v>66</v>
      </c>
      <c r="C4" s="9" t="s">
        <v>70</v>
      </c>
      <c r="D4" s="9" t="s">
        <v>20</v>
      </c>
      <c r="E4" s="9" t="s">
        <v>20</v>
      </c>
      <c r="F4" s="12" t="s">
        <v>20</v>
      </c>
    </row>
    <row r="5" spans="2:6" x14ac:dyDescent="0.25">
      <c r="B5" s="8" t="s">
        <v>87</v>
      </c>
      <c r="C5" s="9" t="s">
        <v>103</v>
      </c>
      <c r="D5" s="9" t="s">
        <v>21</v>
      </c>
      <c r="E5" s="9" t="s">
        <v>20</v>
      </c>
      <c r="F5" s="12" t="s">
        <v>96</v>
      </c>
    </row>
    <row r="6" spans="2:6" x14ac:dyDescent="0.25">
      <c r="B6" s="8" t="s">
        <v>92</v>
      </c>
      <c r="C6" s="9" t="s">
        <v>97</v>
      </c>
      <c r="D6" s="9" t="s">
        <v>20</v>
      </c>
      <c r="E6" s="9" t="s">
        <v>95</v>
      </c>
      <c r="F6" s="12" t="s">
        <v>21</v>
      </c>
    </row>
    <row r="7" spans="2:6" x14ac:dyDescent="0.25">
      <c r="B7" s="8" t="s">
        <v>88</v>
      </c>
      <c r="C7" s="9" t="s">
        <v>74</v>
      </c>
      <c r="D7" s="9" t="s">
        <v>20</v>
      </c>
      <c r="E7" s="9" t="s">
        <v>95</v>
      </c>
      <c r="F7" s="12" t="s">
        <v>21</v>
      </c>
    </row>
    <row r="8" spans="2:6" x14ac:dyDescent="0.25">
      <c r="B8" s="8" t="s">
        <v>89</v>
      </c>
      <c r="C8" s="9" t="s">
        <v>98</v>
      </c>
      <c r="D8" s="9" t="s">
        <v>21</v>
      </c>
      <c r="E8" s="9" t="s">
        <v>20</v>
      </c>
      <c r="F8" s="12" t="s">
        <v>21</v>
      </c>
    </row>
    <row r="9" spans="2:6" x14ac:dyDescent="0.25">
      <c r="B9" s="8" t="s">
        <v>90</v>
      </c>
      <c r="C9" s="9" t="s">
        <v>73</v>
      </c>
      <c r="D9" s="9" t="s">
        <v>20</v>
      </c>
      <c r="E9" s="9" t="s">
        <v>95</v>
      </c>
      <c r="F9" s="12" t="s">
        <v>21</v>
      </c>
    </row>
    <row r="10" spans="2:6" x14ac:dyDescent="0.25">
      <c r="B10" s="8" t="s">
        <v>91</v>
      </c>
      <c r="C10" s="9" t="s">
        <v>93</v>
      </c>
      <c r="D10" s="9" t="s">
        <v>21</v>
      </c>
      <c r="E10" s="9" t="s">
        <v>95</v>
      </c>
      <c r="F10" s="12" t="s">
        <v>21</v>
      </c>
    </row>
    <row r="11" spans="2:6" x14ac:dyDescent="0.25">
      <c r="B11" s="8" t="s">
        <v>68</v>
      </c>
      <c r="C11" s="9" t="s">
        <v>72</v>
      </c>
      <c r="D11" s="9" t="s">
        <v>21</v>
      </c>
      <c r="E11" s="9" t="s">
        <v>20</v>
      </c>
      <c r="F11" s="12" t="s">
        <v>21</v>
      </c>
    </row>
    <row r="12" spans="2:6" ht="15.75" thickBot="1" x14ac:dyDescent="0.3">
      <c r="B12" s="13" t="s">
        <v>99</v>
      </c>
      <c r="C12" s="14" t="s">
        <v>100</v>
      </c>
      <c r="D12" s="14" t="s">
        <v>21</v>
      </c>
      <c r="E12" s="14" t="s">
        <v>21</v>
      </c>
      <c r="F12" s="17" t="s">
        <v>96</v>
      </c>
    </row>
    <row r="14" spans="2:6" ht="15.75" thickBot="1" x14ac:dyDescent="0.3">
      <c r="B14" s="2" t="s">
        <v>51</v>
      </c>
    </row>
    <row r="15" spans="2:6" x14ac:dyDescent="0.25">
      <c r="B15" s="22" t="s">
        <v>24</v>
      </c>
    </row>
    <row r="16" spans="2:6" x14ac:dyDescent="0.25">
      <c r="B16" s="23" t="s">
        <v>26</v>
      </c>
    </row>
    <row r="17" spans="2:2" ht="15.75" thickBot="1" x14ac:dyDescent="0.3">
      <c r="B17" s="24" t="s">
        <v>25</v>
      </c>
    </row>
    <row r="19" spans="2:2" ht="15.75" thickBot="1" x14ac:dyDescent="0.3">
      <c r="B19" s="2" t="s">
        <v>52</v>
      </c>
    </row>
    <row r="20" spans="2:2" x14ac:dyDescent="0.25">
      <c r="B20" s="22" t="s">
        <v>24</v>
      </c>
    </row>
    <row r="21" spans="2:2" ht="15.75" thickBot="1" x14ac:dyDescent="0.3">
      <c r="B21" s="24" t="s">
        <v>25</v>
      </c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BD9B7-2F4E-4E0F-B0DE-0C76068107FF}">
  <dimension ref="A2:F33"/>
  <sheetViews>
    <sheetView workbookViewId="0">
      <selection activeCell="B4" sqref="B4"/>
    </sheetView>
  </sheetViews>
  <sheetFormatPr defaultRowHeight="15" x14ac:dyDescent="0.25"/>
  <cols>
    <col min="1" max="1" width="16.42578125" customWidth="1"/>
    <col min="2" max="2" width="8.5703125" bestFit="1" customWidth="1"/>
    <col min="5" max="6" width="11.42578125" bestFit="1" customWidth="1"/>
  </cols>
  <sheetData>
    <row r="2" spans="1:6" ht="15.75" thickBot="1" x14ac:dyDescent="0.3">
      <c r="A2" t="s">
        <v>53</v>
      </c>
      <c r="B2" s="28" t="s">
        <v>107</v>
      </c>
      <c r="D2" s="2" t="s">
        <v>40</v>
      </c>
    </row>
    <row r="3" spans="1:6" ht="15.75" thickBot="1" x14ac:dyDescent="0.3">
      <c r="A3" t="s">
        <v>31</v>
      </c>
      <c r="B3" s="1">
        <v>0</v>
      </c>
      <c r="D3" s="52" t="s">
        <v>38</v>
      </c>
      <c r="E3" s="53" t="s">
        <v>32</v>
      </c>
      <c r="F3" s="54" t="s">
        <v>39</v>
      </c>
    </row>
    <row r="4" spans="1:6" x14ac:dyDescent="0.25">
      <c r="A4" t="s">
        <v>32</v>
      </c>
      <c r="B4" s="1">
        <f>1/10</f>
        <v>0.1</v>
      </c>
      <c r="D4" s="63" t="s">
        <v>33</v>
      </c>
      <c r="E4" s="5">
        <f>1/30*B3</f>
        <v>0</v>
      </c>
      <c r="F4" s="25">
        <v>0</v>
      </c>
    </row>
    <row r="5" spans="1:6" x14ac:dyDescent="0.25">
      <c r="A5" t="s">
        <v>108</v>
      </c>
      <c r="B5" s="9">
        <v>24</v>
      </c>
      <c r="D5" s="64" t="s">
        <v>34</v>
      </c>
      <c r="E5" s="10">
        <f>B3</f>
        <v>0</v>
      </c>
      <c r="F5" s="26">
        <f>E4</f>
        <v>0</v>
      </c>
    </row>
    <row r="6" spans="1:6" x14ac:dyDescent="0.25">
      <c r="D6" s="65" t="s">
        <v>35</v>
      </c>
      <c r="E6" s="10">
        <f>B4</f>
        <v>0.1</v>
      </c>
      <c r="F6" s="26">
        <f>E5</f>
        <v>0</v>
      </c>
    </row>
    <row r="7" spans="1:6" x14ac:dyDescent="0.25">
      <c r="D7" s="66" t="s">
        <v>36</v>
      </c>
      <c r="E7" s="10">
        <f>MIN(1,30*B4)</f>
        <v>1</v>
      </c>
      <c r="F7" s="26">
        <f>E6</f>
        <v>0.1</v>
      </c>
    </row>
    <row r="8" spans="1:6" ht="15.75" thickBot="1" x14ac:dyDescent="0.3">
      <c r="D8" s="67" t="s">
        <v>37</v>
      </c>
      <c r="E8" s="15">
        <v>1</v>
      </c>
      <c r="F8" s="27">
        <f>E7</f>
        <v>1</v>
      </c>
    </row>
    <row r="11" spans="1:6" ht="15.75" thickBot="1" x14ac:dyDescent="0.3">
      <c r="D11" s="2" t="s">
        <v>102</v>
      </c>
    </row>
    <row r="12" spans="1:6" ht="15.75" thickBot="1" x14ac:dyDescent="0.3">
      <c r="D12" s="52" t="s">
        <v>101</v>
      </c>
      <c r="E12" s="54" t="s">
        <v>39</v>
      </c>
    </row>
    <row r="13" spans="1:6" x14ac:dyDescent="0.25">
      <c r="D13" s="55" t="s">
        <v>54</v>
      </c>
      <c r="E13" s="26">
        <f>1/1000*B3</f>
        <v>0</v>
      </c>
    </row>
    <row r="14" spans="1:6" x14ac:dyDescent="0.25">
      <c r="D14" s="56" t="s">
        <v>55</v>
      </c>
      <c r="E14" s="26">
        <f>1/100*B3</f>
        <v>0</v>
      </c>
    </row>
    <row r="15" spans="1:6" x14ac:dyDescent="0.25">
      <c r="D15" s="57" t="s">
        <v>56</v>
      </c>
      <c r="E15" s="26">
        <f>1/10*B3</f>
        <v>0</v>
      </c>
    </row>
    <row r="16" spans="1:6" x14ac:dyDescent="0.25">
      <c r="D16" s="58" t="s">
        <v>57</v>
      </c>
      <c r="E16" s="26">
        <f>B3</f>
        <v>0</v>
      </c>
    </row>
    <row r="17" spans="2:5" x14ac:dyDescent="0.25">
      <c r="D17" s="59" t="s">
        <v>58</v>
      </c>
      <c r="E17" s="26">
        <f>B4</f>
        <v>0.1</v>
      </c>
    </row>
    <row r="18" spans="2:5" x14ac:dyDescent="0.25">
      <c r="D18" s="60" t="s">
        <v>59</v>
      </c>
      <c r="E18" s="26">
        <f>10*B4</f>
        <v>1</v>
      </c>
    </row>
    <row r="19" spans="2:5" x14ac:dyDescent="0.25">
      <c r="D19" s="61" t="s">
        <v>60</v>
      </c>
      <c r="E19" s="12">
        <v>1</v>
      </c>
    </row>
    <row r="20" spans="2:5" x14ac:dyDescent="0.25">
      <c r="D20" s="57" t="s">
        <v>37</v>
      </c>
      <c r="E20" s="12"/>
    </row>
    <row r="21" spans="2:5" ht="15.75" thickBot="1" x14ac:dyDescent="0.3">
      <c r="D21" s="62" t="s">
        <v>61</v>
      </c>
      <c r="E21" s="17"/>
    </row>
    <row r="22" spans="2:5" x14ac:dyDescent="0.25">
      <c r="D22" s="28"/>
    </row>
    <row r="23" spans="2:5" x14ac:dyDescent="0.25">
      <c r="D23" s="28"/>
    </row>
    <row r="28" spans="2:5" x14ac:dyDescent="0.25">
      <c r="B28" s="28"/>
    </row>
    <row r="29" spans="2:5" x14ac:dyDescent="0.25">
      <c r="B29" s="28"/>
    </row>
    <row r="30" spans="2:5" x14ac:dyDescent="0.25">
      <c r="B30" s="28"/>
    </row>
    <row r="31" spans="2:5" x14ac:dyDescent="0.25">
      <c r="B31" s="28"/>
    </row>
    <row r="32" spans="2:5" x14ac:dyDescent="0.25">
      <c r="B32" s="28"/>
    </row>
    <row r="33" spans="2:2" x14ac:dyDescent="0.25">
      <c r="B33" s="28"/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10E67-B736-4749-B620-06835F5DE469}">
  <dimension ref="B2:Y32"/>
  <sheetViews>
    <sheetView workbookViewId="0">
      <selection activeCell="Q11" sqref="Q11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.28515625" customWidth="1"/>
    <col min="12" max="12" width="11.425781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5" ht="15.75" thickBot="1" x14ac:dyDescent="0.3">
      <c r="B2" s="2" t="s">
        <v>49</v>
      </c>
      <c r="C2" s="2" t="s">
        <v>50</v>
      </c>
    </row>
    <row r="3" spans="2:25" x14ac:dyDescent="0.25">
      <c r="B3" s="36" t="s">
        <v>44</v>
      </c>
      <c r="C3" s="7">
        <v>28.9</v>
      </c>
    </row>
    <row r="4" spans="2:25" x14ac:dyDescent="0.25">
      <c r="B4" s="40" t="s">
        <v>109</v>
      </c>
      <c r="C4" s="12" t="s">
        <v>20</v>
      </c>
    </row>
    <row r="5" spans="2:25" x14ac:dyDescent="0.25">
      <c r="B5" s="40" t="s">
        <v>47</v>
      </c>
      <c r="C5" s="26" t="str">
        <f>IFERROR(MIN(1-PRODUCT(Q11:Q30),MAX(S11:S30)),"GR")</f>
        <v>GR</v>
      </c>
    </row>
    <row r="6" spans="2:25" x14ac:dyDescent="0.25">
      <c r="B6" s="40" t="s">
        <v>41</v>
      </c>
      <c r="C6" s="26">
        <f>MIN(1-PRODUCT(R11:R30),MAX(T11:T30))</f>
        <v>3.0440911317815011E-3</v>
      </c>
    </row>
    <row r="7" spans="2:25" ht="15.75" thickBot="1" x14ac:dyDescent="0.3">
      <c r="B7" s="41" t="s">
        <v>48</v>
      </c>
      <c r="C7" s="17" t="str">
        <f>IF(1-PRODUCT(R11:R30)&gt;MAX(T11:T30),"Ja","Nee")</f>
        <v>Nee</v>
      </c>
    </row>
    <row r="9" spans="2:25" ht="15.75" thickBot="1" x14ac:dyDescent="0.3">
      <c r="Q9" t="s">
        <v>65</v>
      </c>
    </row>
    <row r="10" spans="2:25" ht="60.75" thickBot="1" x14ac:dyDescent="0.3">
      <c r="B10" s="18" t="s">
        <v>0</v>
      </c>
      <c r="C10" s="19" t="s">
        <v>1</v>
      </c>
      <c r="D10" s="19" t="s">
        <v>80</v>
      </c>
      <c r="E10" s="21" t="s">
        <v>3</v>
      </c>
      <c r="F10" s="18" t="s">
        <v>23</v>
      </c>
      <c r="G10" s="19" t="s">
        <v>4</v>
      </c>
      <c r="H10" s="20" t="s">
        <v>5</v>
      </c>
      <c r="I10" s="18" t="s">
        <v>22</v>
      </c>
      <c r="J10" s="19" t="s">
        <v>6</v>
      </c>
      <c r="K10" s="20" t="s">
        <v>7</v>
      </c>
      <c r="L10" s="19" t="s">
        <v>27</v>
      </c>
      <c r="M10" s="19" t="s">
        <v>28</v>
      </c>
      <c r="N10" s="19" t="s">
        <v>29</v>
      </c>
      <c r="O10" s="20" t="s">
        <v>30</v>
      </c>
      <c r="P10" s="2"/>
      <c r="Q10" s="36" t="s">
        <v>42</v>
      </c>
      <c r="R10" s="37" t="s">
        <v>43</v>
      </c>
      <c r="S10" s="37" t="s">
        <v>45</v>
      </c>
      <c r="T10" s="37" t="s">
        <v>46</v>
      </c>
      <c r="U10" s="38" t="s">
        <v>62</v>
      </c>
      <c r="V10" s="38" t="s">
        <v>63</v>
      </c>
      <c r="W10" s="4"/>
      <c r="X10" s="39" t="s">
        <v>64</v>
      </c>
      <c r="Y10" s="35"/>
    </row>
    <row r="11" spans="2:25" x14ac:dyDescent="0.25">
      <c r="B11" s="3" t="s">
        <v>8</v>
      </c>
      <c r="C11" s="4">
        <v>0</v>
      </c>
      <c r="D11" s="4">
        <v>2</v>
      </c>
      <c r="E11" s="22" t="s">
        <v>20</v>
      </c>
      <c r="F11" s="3" t="s">
        <v>25</v>
      </c>
      <c r="G11" s="5"/>
      <c r="H11" s="25"/>
      <c r="I11" s="3" t="s">
        <v>21</v>
      </c>
      <c r="J11" s="5"/>
      <c r="K11" s="25"/>
      <c r="L11" s="29" t="str">
        <f t="shared" ref="L11:L22" si="0">IF($E11="Nee",0,IF(I11="Ja",IF(ISNUMBER(J11),J11,"-"),IF(ISNUMBER(G11),G11,"-")))</f>
        <v>-</v>
      </c>
      <c r="M11" s="5" t="str">
        <f t="shared" ref="M11:M22" si="1">IF($E11="Nee",0,IF(I11="Ja",IF(ISNUMBER(K11),K11,"-"),IF(ISNUMBER(H11),H11,"-")))</f>
        <v>-</v>
      </c>
      <c r="N11" s="6" t="str">
        <f t="shared" ref="N11:N22" si="2">IF(ISNUMBER(L11),IF(M11=0,1,M11/L11),"-")</f>
        <v>-</v>
      </c>
      <c r="O11" s="30" t="str">
        <f>IF(E11="Nee","NR",IF(ISNUMBER($M11),W11,IF($X11,"D","ND")))</f>
        <v>ND</v>
      </c>
      <c r="Q11" s="31">
        <f t="shared" ref="Q11:Q22" si="3">IF(AND(F11="Geen faalkans",I11="Nee"),1,1-M11)</f>
        <v>1</v>
      </c>
      <c r="R11" s="10">
        <f>IF(M11="-",1,Q11)</f>
        <v>1</v>
      </c>
      <c r="S11" s="10">
        <f t="shared" ref="S11:S22" si="4">IF(AND(F11="Geen faalkans",I11="Nee"),0,L11*$C$3)</f>
        <v>0</v>
      </c>
      <c r="T11" s="10">
        <f>IF(L11="-",0,S11)</f>
        <v>0</v>
      </c>
      <c r="U11" s="9">
        <f t="array" ref="U11">MIN(IF('Normen en duidingsklassen'!$E$13:$E$20&gt;=$M11,'Normen en duidingsklassen'!$E$13:$E$20))</f>
        <v>0</v>
      </c>
      <c r="V11" s="9">
        <f>IFERROR(MATCH($U11,'Normen en duidingsklassen'!$E$13:$E$20,),1)</f>
        <v>1</v>
      </c>
      <c r="W11" s="9" t="str">
        <f>INDEX('Normen en duidingsklassen'!$D$13:$D$20,STPH!V11)</f>
        <v>+III</v>
      </c>
      <c r="X11" s="12" t="b">
        <f>IF($E11="Ja",IF($I11="Ja",NOT(ISNUMBER($J11)),FALSE),FALSE)</f>
        <v>0</v>
      </c>
    </row>
    <row r="12" spans="2:25" x14ac:dyDescent="0.25">
      <c r="B12" s="8" t="s">
        <v>9</v>
      </c>
      <c r="C12" s="9">
        <v>2</v>
      </c>
      <c r="D12" s="9">
        <v>4</v>
      </c>
      <c r="E12" s="23" t="s">
        <v>20</v>
      </c>
      <c r="F12" s="8" t="s">
        <v>26</v>
      </c>
      <c r="G12" s="10">
        <v>0</v>
      </c>
      <c r="H12" s="26">
        <f t="shared" ref="H12" si="5">G12*3.66</f>
        <v>0</v>
      </c>
      <c r="I12" s="8" t="s">
        <v>21</v>
      </c>
      <c r="J12" s="10"/>
      <c r="K12" s="26"/>
      <c r="L12" s="31">
        <f t="shared" si="0"/>
        <v>0</v>
      </c>
      <c r="M12" s="10">
        <f t="shared" si="1"/>
        <v>0</v>
      </c>
      <c r="N12" s="11">
        <f t="shared" si="2"/>
        <v>1</v>
      </c>
      <c r="O12" s="32" t="str">
        <f t="shared" ref="O12:O15" si="6">IF(E12="Nee","NR",IF(ISNUMBER($M12),W12,IF($X12,"D","ND")))</f>
        <v>+III</v>
      </c>
      <c r="Q12" s="31">
        <f t="shared" si="3"/>
        <v>1</v>
      </c>
      <c r="R12" s="10">
        <f t="shared" ref="R12:R22" si="7">IF(M12="-",1,Q12)</f>
        <v>1</v>
      </c>
      <c r="S12" s="10">
        <f t="shared" si="4"/>
        <v>0</v>
      </c>
      <c r="T12" s="10">
        <f t="shared" ref="T12:T22" si="8">IF(L12="-",0,S12)</f>
        <v>0</v>
      </c>
      <c r="U12" s="9">
        <f t="array" ref="U12">MIN(IF('Normen en duidingsklassen'!$E$13:$E$20&gt;=$M12,'Normen en duidingsklassen'!$E$13:$E$20))</f>
        <v>0</v>
      </c>
      <c r="V12" s="9">
        <f>IFERROR(MATCH($U12,'Normen en duidingsklassen'!$E$13:$E$20,),1)</f>
        <v>1</v>
      </c>
      <c r="W12" s="9" t="str">
        <f>INDEX('Normen en duidingsklassen'!$D$13:$D$20,STPH!V12)</f>
        <v>+III</v>
      </c>
      <c r="X12" s="12" t="b">
        <f t="shared" ref="X12:X22" si="9">IF($E12="Ja",IF($I12="Ja",NOT(ISNUMBER($J12)),FALSE),FALSE)</f>
        <v>0</v>
      </c>
    </row>
    <row r="13" spans="2:25" x14ac:dyDescent="0.25">
      <c r="B13" s="8" t="s">
        <v>10</v>
      </c>
      <c r="C13" s="9">
        <v>4</v>
      </c>
      <c r="D13" s="9">
        <v>6</v>
      </c>
      <c r="E13" s="23" t="s">
        <v>20</v>
      </c>
      <c r="F13" s="8" t="s">
        <v>26</v>
      </c>
      <c r="G13" s="10">
        <v>1</v>
      </c>
      <c r="H13" s="26">
        <v>1</v>
      </c>
      <c r="I13" s="8" t="s">
        <v>20</v>
      </c>
      <c r="J13" s="10">
        <v>0</v>
      </c>
      <c r="K13" s="26">
        <v>0</v>
      </c>
      <c r="L13" s="31">
        <f t="shared" si="0"/>
        <v>0</v>
      </c>
      <c r="M13" s="10">
        <f t="shared" si="1"/>
        <v>0</v>
      </c>
      <c r="N13" s="11">
        <f t="shared" si="2"/>
        <v>1</v>
      </c>
      <c r="O13" s="32" t="str">
        <f t="shared" si="6"/>
        <v>+III</v>
      </c>
      <c r="Q13" s="31">
        <f t="shared" si="3"/>
        <v>1</v>
      </c>
      <c r="R13" s="10">
        <f t="shared" si="7"/>
        <v>1</v>
      </c>
      <c r="S13" s="10">
        <f t="shared" si="4"/>
        <v>0</v>
      </c>
      <c r="T13" s="10">
        <f t="shared" si="8"/>
        <v>0</v>
      </c>
      <c r="U13" s="9">
        <f t="array" ref="U13">MIN(IF('Normen en duidingsklassen'!$E$13:$E$20&gt;=$M13,'Normen en duidingsklassen'!$E$13:$E$20))</f>
        <v>0</v>
      </c>
      <c r="V13" s="9">
        <f>IFERROR(MATCH($U13,'Normen en duidingsklassen'!$E$13:$E$20,),1)</f>
        <v>1</v>
      </c>
      <c r="W13" s="9" t="str">
        <f>INDEX('Normen en duidingsklassen'!$D$13:$D$20,STPH!V13)</f>
        <v>+III</v>
      </c>
      <c r="X13" s="12" t="b">
        <f t="shared" si="9"/>
        <v>0</v>
      </c>
    </row>
    <row r="14" spans="2:25" x14ac:dyDescent="0.25">
      <c r="B14" s="8" t="s">
        <v>11</v>
      </c>
      <c r="C14" s="9">
        <v>6</v>
      </c>
      <c r="D14" s="9">
        <v>8</v>
      </c>
      <c r="E14" s="23" t="s">
        <v>20</v>
      </c>
      <c r="F14" s="8" t="s">
        <v>26</v>
      </c>
      <c r="G14" s="10">
        <v>0.11</v>
      </c>
      <c r="H14" s="26">
        <f>G14*3.66</f>
        <v>0.40260000000000001</v>
      </c>
      <c r="I14" s="8" t="s">
        <v>20</v>
      </c>
      <c r="J14" s="10"/>
      <c r="K14" s="26"/>
      <c r="L14" s="31" t="str">
        <f t="shared" si="0"/>
        <v>-</v>
      </c>
      <c r="M14" s="10" t="str">
        <f t="shared" si="1"/>
        <v>-</v>
      </c>
      <c r="N14" s="11" t="str">
        <f t="shared" si="2"/>
        <v>-</v>
      </c>
      <c r="O14" s="32" t="str">
        <f t="shared" si="6"/>
        <v>D</v>
      </c>
      <c r="Q14" s="31" t="e">
        <f t="shared" si="3"/>
        <v>#VALUE!</v>
      </c>
      <c r="R14" s="10">
        <f t="shared" si="7"/>
        <v>1</v>
      </c>
      <c r="S14" s="10" t="e">
        <f t="shared" si="4"/>
        <v>#VALUE!</v>
      </c>
      <c r="T14" s="10">
        <f t="shared" si="8"/>
        <v>0</v>
      </c>
      <c r="U14" s="9">
        <f t="array" ref="U14">MIN(IF('Normen en duidingsklassen'!$E$13:$E$20&gt;=$M14,'Normen en duidingsklassen'!$E$13:$E$20))</f>
        <v>0</v>
      </c>
      <c r="V14" s="9">
        <f>IFERROR(MATCH($U14,'Normen en duidingsklassen'!$E$13:$E$20,),1)</f>
        <v>1</v>
      </c>
      <c r="W14" s="9" t="str">
        <f>INDEX('Normen en duidingsklassen'!$D$13:$D$20,STPH!V14)</f>
        <v>+III</v>
      </c>
      <c r="X14" s="12" t="b">
        <f t="shared" si="9"/>
        <v>1</v>
      </c>
    </row>
    <row r="15" spans="2:25" x14ac:dyDescent="0.25">
      <c r="B15" s="8" t="s">
        <v>12</v>
      </c>
      <c r="C15" s="9">
        <v>8</v>
      </c>
      <c r="D15" s="9">
        <v>10</v>
      </c>
      <c r="E15" s="23" t="s">
        <v>20</v>
      </c>
      <c r="F15" s="8" t="s">
        <v>26</v>
      </c>
      <c r="G15" s="10">
        <v>1</v>
      </c>
      <c r="H15" s="26">
        <v>1</v>
      </c>
      <c r="I15" s="8" t="s">
        <v>20</v>
      </c>
      <c r="J15" s="10">
        <v>5.0000000000000004E-6</v>
      </c>
      <c r="K15" s="26">
        <v>1.8300000000000001E-5</v>
      </c>
      <c r="L15" s="31">
        <f t="shared" si="0"/>
        <v>5.0000000000000004E-6</v>
      </c>
      <c r="M15" s="10">
        <f t="shared" si="1"/>
        <v>1.8300000000000001E-5</v>
      </c>
      <c r="N15" s="11">
        <f t="shared" si="2"/>
        <v>3.6599999999999997</v>
      </c>
      <c r="O15" s="32" t="str">
        <f t="shared" si="6"/>
        <v>-I</v>
      </c>
      <c r="Q15" s="31">
        <f t="shared" si="3"/>
        <v>0.99998169999999997</v>
      </c>
      <c r="R15" s="10">
        <f t="shared" si="7"/>
        <v>0.99998169999999997</v>
      </c>
      <c r="S15" s="10">
        <f t="shared" si="4"/>
        <v>1.4450000000000002E-4</v>
      </c>
      <c r="T15" s="10">
        <f t="shared" si="8"/>
        <v>1.4450000000000002E-4</v>
      </c>
      <c r="U15" s="9">
        <f t="array" ref="U15">MIN(IF('Normen en duidingsklassen'!$E$13:$E$20&gt;=$M15,'Normen en duidingsklassen'!$E$13:$E$20))</f>
        <v>0.1</v>
      </c>
      <c r="V15" s="9">
        <f>IFERROR(MATCH($U15,'Normen en duidingsklassen'!$E$13:$E$20,),1)</f>
        <v>5</v>
      </c>
      <c r="W15" s="9" t="str">
        <f>INDEX('Normen en duidingsklassen'!$D$13:$D$20,STPH!V15)</f>
        <v>-I</v>
      </c>
      <c r="X15" s="12" t="b">
        <f t="shared" si="9"/>
        <v>0</v>
      </c>
    </row>
    <row r="16" spans="2:25" x14ac:dyDescent="0.25">
      <c r="B16" s="8" t="s">
        <v>13</v>
      </c>
      <c r="C16" s="9">
        <v>10</v>
      </c>
      <c r="D16" s="9">
        <v>12</v>
      </c>
      <c r="E16" s="23" t="s">
        <v>21</v>
      </c>
      <c r="F16" s="8" t="s">
        <v>25</v>
      </c>
      <c r="G16" s="10"/>
      <c r="H16" s="26"/>
      <c r="I16" s="8" t="s">
        <v>21</v>
      </c>
      <c r="J16" s="10"/>
      <c r="K16" s="26"/>
      <c r="L16" s="31">
        <f t="shared" si="0"/>
        <v>0</v>
      </c>
      <c r="M16" s="10">
        <f t="shared" si="1"/>
        <v>0</v>
      </c>
      <c r="N16" s="11">
        <f t="shared" si="2"/>
        <v>1</v>
      </c>
      <c r="O16" s="32" t="str">
        <f>IF(E16="Nee","NR",IF(ISNUMBER($M16),W16,IF($X16,"D","ND")))</f>
        <v>NR</v>
      </c>
      <c r="Q16" s="31">
        <f t="shared" si="3"/>
        <v>1</v>
      </c>
      <c r="R16" s="10">
        <f t="shared" si="7"/>
        <v>1</v>
      </c>
      <c r="S16" s="10">
        <f t="shared" si="4"/>
        <v>0</v>
      </c>
      <c r="T16" s="10">
        <f t="shared" si="8"/>
        <v>0</v>
      </c>
      <c r="U16" s="9">
        <f t="array" ref="U16">MIN(IF('Normen en duidingsklassen'!$E$13:$E$20&gt;=$M16,'Normen en duidingsklassen'!$E$13:$E$20))</f>
        <v>0</v>
      </c>
      <c r="V16" s="9">
        <f>IFERROR(MATCH($U16,'Normen en duidingsklassen'!$E$13:$E$20,),1)</f>
        <v>1</v>
      </c>
      <c r="W16" s="9" t="str">
        <f>INDEX('Normen en duidingsklassen'!$D$13:$D$20,STPH!V16)</f>
        <v>+III</v>
      </c>
      <c r="X16" s="12" t="b">
        <f t="shared" si="9"/>
        <v>0</v>
      </c>
    </row>
    <row r="17" spans="2:24" x14ac:dyDescent="0.25">
      <c r="B17" s="8" t="s">
        <v>14</v>
      </c>
      <c r="C17" s="9">
        <v>12</v>
      </c>
      <c r="D17" s="9">
        <v>14</v>
      </c>
      <c r="E17" s="23" t="s">
        <v>21</v>
      </c>
      <c r="F17" s="8" t="s">
        <v>25</v>
      </c>
      <c r="G17" s="10"/>
      <c r="H17" s="26"/>
      <c r="I17" s="8" t="s">
        <v>21</v>
      </c>
      <c r="J17" s="10"/>
      <c r="K17" s="26"/>
      <c r="L17" s="31">
        <f t="shared" si="0"/>
        <v>0</v>
      </c>
      <c r="M17" s="10">
        <f t="shared" si="1"/>
        <v>0</v>
      </c>
      <c r="N17" s="11">
        <f t="shared" si="2"/>
        <v>1</v>
      </c>
      <c r="O17" s="32" t="str">
        <f t="shared" ref="O17:O22" si="10">IF(E17="Nee","NR",IF(ISNUMBER($M17),W17,IF($X17,"D","ND")))</f>
        <v>NR</v>
      </c>
      <c r="Q17" s="31">
        <f t="shared" si="3"/>
        <v>1</v>
      </c>
      <c r="R17" s="10">
        <f t="shared" si="7"/>
        <v>1</v>
      </c>
      <c r="S17" s="10">
        <f t="shared" si="4"/>
        <v>0</v>
      </c>
      <c r="T17" s="10">
        <f t="shared" si="8"/>
        <v>0</v>
      </c>
      <c r="U17" s="9">
        <f t="array" ref="U17">MIN(IF('Normen en duidingsklassen'!$E$13:$E$20&gt;=$M17,'Normen en duidingsklassen'!$E$13:$E$20))</f>
        <v>0</v>
      </c>
      <c r="V17" s="9">
        <f>IFERROR(MATCH($U17,'Normen en duidingsklassen'!$E$13:$E$20,),1)</f>
        <v>1</v>
      </c>
      <c r="W17" s="9" t="str">
        <f>INDEX('Normen en duidingsklassen'!$D$13:$D$20,STPH!V17)</f>
        <v>+III</v>
      </c>
      <c r="X17" s="12" t="b">
        <f t="shared" si="9"/>
        <v>0</v>
      </c>
    </row>
    <row r="18" spans="2:24" x14ac:dyDescent="0.25">
      <c r="B18" s="8" t="s">
        <v>15</v>
      </c>
      <c r="C18" s="9">
        <v>14</v>
      </c>
      <c r="D18" s="9">
        <v>16</v>
      </c>
      <c r="E18" s="23" t="s">
        <v>21</v>
      </c>
      <c r="F18" s="8" t="s">
        <v>25</v>
      </c>
      <c r="G18" s="10"/>
      <c r="H18" s="26"/>
      <c r="I18" s="8" t="s">
        <v>21</v>
      </c>
      <c r="J18" s="10"/>
      <c r="K18" s="26"/>
      <c r="L18" s="31">
        <f t="shared" si="0"/>
        <v>0</v>
      </c>
      <c r="M18" s="10">
        <f t="shared" si="1"/>
        <v>0</v>
      </c>
      <c r="N18" s="11">
        <f t="shared" si="2"/>
        <v>1</v>
      </c>
      <c r="O18" s="32" t="str">
        <f t="shared" si="10"/>
        <v>NR</v>
      </c>
      <c r="Q18" s="31">
        <f t="shared" si="3"/>
        <v>1</v>
      </c>
      <c r="R18" s="10">
        <f t="shared" si="7"/>
        <v>1</v>
      </c>
      <c r="S18" s="10">
        <f t="shared" si="4"/>
        <v>0</v>
      </c>
      <c r="T18" s="10">
        <f t="shared" si="8"/>
        <v>0</v>
      </c>
      <c r="U18" s="9">
        <f t="array" ref="U18">MIN(IF('Normen en duidingsklassen'!$E$13:$E$20&gt;=$M18,'Normen en duidingsklassen'!$E$13:$E$20))</f>
        <v>0</v>
      </c>
      <c r="V18" s="9">
        <f>IFERROR(MATCH($U18,'Normen en duidingsklassen'!$E$13:$E$20,),1)</f>
        <v>1</v>
      </c>
      <c r="W18" s="9" t="str">
        <f>INDEX('Normen en duidingsklassen'!$D$13:$D$20,STPH!V18)</f>
        <v>+III</v>
      </c>
      <c r="X18" s="12" t="b">
        <f t="shared" si="9"/>
        <v>0</v>
      </c>
    </row>
    <row r="19" spans="2:24" x14ac:dyDescent="0.25">
      <c r="B19" s="8" t="s">
        <v>16</v>
      </c>
      <c r="C19" s="9">
        <v>16</v>
      </c>
      <c r="D19" s="9">
        <v>18</v>
      </c>
      <c r="E19" s="23" t="s">
        <v>20</v>
      </c>
      <c r="F19" s="8" t="s">
        <v>26</v>
      </c>
      <c r="G19" s="10">
        <v>7.27E-4</v>
      </c>
      <c r="H19" s="26">
        <f t="shared" ref="H19:H22" si="11">G19*3.66</f>
        <v>2.6608199999999999E-3</v>
      </c>
      <c r="I19" s="8" t="s">
        <v>21</v>
      </c>
      <c r="J19" s="10"/>
      <c r="K19" s="26"/>
      <c r="L19" s="31">
        <f t="shared" si="0"/>
        <v>7.27E-4</v>
      </c>
      <c r="M19" s="10">
        <f t="shared" si="1"/>
        <v>2.6608199999999999E-3</v>
      </c>
      <c r="N19" s="11">
        <f t="shared" si="2"/>
        <v>3.66</v>
      </c>
      <c r="O19" s="32" t="str">
        <f t="shared" si="10"/>
        <v>-I</v>
      </c>
      <c r="Q19" s="31">
        <f t="shared" si="3"/>
        <v>0.99733917999999999</v>
      </c>
      <c r="R19" s="10">
        <f t="shared" si="7"/>
        <v>0.99733917999999999</v>
      </c>
      <c r="S19" s="10">
        <f t="shared" si="4"/>
        <v>2.1010299999999999E-2</v>
      </c>
      <c r="T19" s="10">
        <f t="shared" si="8"/>
        <v>2.1010299999999999E-2</v>
      </c>
      <c r="U19" s="9">
        <f t="array" ref="U19">MIN(IF('Normen en duidingsklassen'!$E$13:$E$20&gt;=$M19,'Normen en duidingsklassen'!$E$13:$E$20))</f>
        <v>0.1</v>
      </c>
      <c r="V19" s="9">
        <f>IFERROR(MATCH($U19,'Normen en duidingsklassen'!$E$13:$E$20,),1)</f>
        <v>5</v>
      </c>
      <c r="W19" s="9" t="str">
        <f>INDEX('Normen en duidingsklassen'!$D$13:$D$20,STPH!V19)</f>
        <v>-I</v>
      </c>
      <c r="X19" s="12" t="b">
        <f t="shared" si="9"/>
        <v>0</v>
      </c>
    </row>
    <row r="20" spans="2:24" x14ac:dyDescent="0.25">
      <c r="B20" s="8" t="s">
        <v>17</v>
      </c>
      <c r="C20" s="9">
        <v>18</v>
      </c>
      <c r="D20" s="9">
        <v>20</v>
      </c>
      <c r="E20" s="23" t="s">
        <v>20</v>
      </c>
      <c r="F20" s="8" t="s">
        <v>26</v>
      </c>
      <c r="G20" s="10">
        <v>7.2800000000000002E-4</v>
      </c>
      <c r="H20" s="26">
        <f t="shared" si="11"/>
        <v>2.6644800000000003E-3</v>
      </c>
      <c r="I20" s="8" t="s">
        <v>20</v>
      </c>
      <c r="J20" s="10">
        <v>0</v>
      </c>
      <c r="K20" s="26">
        <v>0</v>
      </c>
      <c r="L20" s="31">
        <f t="shared" si="0"/>
        <v>0</v>
      </c>
      <c r="M20" s="10">
        <f t="shared" si="1"/>
        <v>0</v>
      </c>
      <c r="N20" s="11">
        <f t="shared" si="2"/>
        <v>1</v>
      </c>
      <c r="O20" s="32" t="str">
        <f t="shared" si="10"/>
        <v>+III</v>
      </c>
      <c r="Q20" s="31">
        <f t="shared" si="3"/>
        <v>1</v>
      </c>
      <c r="R20" s="10">
        <f t="shared" si="7"/>
        <v>1</v>
      </c>
      <c r="S20" s="10">
        <f t="shared" si="4"/>
        <v>0</v>
      </c>
      <c r="T20" s="10">
        <f t="shared" si="8"/>
        <v>0</v>
      </c>
      <c r="U20" s="9">
        <f t="array" ref="U20">MIN(IF('Normen en duidingsklassen'!$E$13:$E$20&gt;=$M20,'Normen en duidingsklassen'!$E$13:$E$20))</f>
        <v>0</v>
      </c>
      <c r="V20" s="9">
        <f>IFERROR(MATCH($U20,'Normen en duidingsklassen'!$E$13:$E$20,),1)</f>
        <v>1</v>
      </c>
      <c r="W20" s="9" t="str">
        <f>INDEX('Normen en duidingsklassen'!$D$13:$D$20,STPH!V20)</f>
        <v>+III</v>
      </c>
      <c r="X20" s="12" t="b">
        <f t="shared" si="9"/>
        <v>0</v>
      </c>
    </row>
    <row r="21" spans="2:24" x14ac:dyDescent="0.25">
      <c r="B21" s="8" t="s">
        <v>18</v>
      </c>
      <c r="C21" s="9">
        <v>20</v>
      </c>
      <c r="D21" s="9">
        <v>22</v>
      </c>
      <c r="E21" s="23" t="s">
        <v>20</v>
      </c>
      <c r="F21" s="8" t="s">
        <v>26</v>
      </c>
      <c r="G21" s="10">
        <v>1E-10</v>
      </c>
      <c r="H21" s="26">
        <f t="shared" si="11"/>
        <v>3.6600000000000003E-10</v>
      </c>
      <c r="I21" s="8" t="s">
        <v>21</v>
      </c>
      <c r="J21" s="10"/>
      <c r="K21" s="26"/>
      <c r="L21" s="31">
        <f t="shared" si="0"/>
        <v>1E-10</v>
      </c>
      <c r="M21" s="10">
        <f t="shared" si="1"/>
        <v>3.6600000000000003E-10</v>
      </c>
      <c r="N21" s="11">
        <f t="shared" si="2"/>
        <v>3.66</v>
      </c>
      <c r="O21" s="32" t="str">
        <f t="shared" si="10"/>
        <v>-I</v>
      </c>
      <c r="Q21" s="31">
        <f t="shared" si="3"/>
        <v>0.99999999963399999</v>
      </c>
      <c r="R21" s="10">
        <f t="shared" si="7"/>
        <v>0.99999999963399999</v>
      </c>
      <c r="S21" s="10">
        <f t="shared" si="4"/>
        <v>2.8900000000000002E-9</v>
      </c>
      <c r="T21" s="10">
        <f t="shared" si="8"/>
        <v>2.8900000000000002E-9</v>
      </c>
      <c r="U21" s="9">
        <f t="array" ref="U21">MIN(IF('Normen en duidingsklassen'!$E$13:$E$20&gt;=$M21,'Normen en duidingsklassen'!$E$13:$E$20))</f>
        <v>0.1</v>
      </c>
      <c r="V21" s="9">
        <f>IFERROR(MATCH($U21,'Normen en duidingsklassen'!$E$13:$E$20,),1)</f>
        <v>5</v>
      </c>
      <c r="W21" s="9" t="str">
        <f>INDEX('Normen en duidingsklassen'!$D$13:$D$20,STPH!V21)</f>
        <v>-I</v>
      </c>
      <c r="X21" s="12" t="b">
        <f t="shared" si="9"/>
        <v>0</v>
      </c>
    </row>
    <row r="22" spans="2:24" x14ac:dyDescent="0.25">
      <c r="B22" s="8" t="s">
        <v>19</v>
      </c>
      <c r="C22" s="9">
        <v>22</v>
      </c>
      <c r="D22" s="9">
        <v>24</v>
      </c>
      <c r="E22" s="23" t="s">
        <v>20</v>
      </c>
      <c r="F22" s="8" t="s">
        <v>26</v>
      </c>
      <c r="G22" s="10">
        <v>1E-4</v>
      </c>
      <c r="H22" s="26">
        <f t="shared" si="11"/>
        <v>3.6600000000000001E-4</v>
      </c>
      <c r="I22" s="8" t="s">
        <v>21</v>
      </c>
      <c r="J22" s="10"/>
      <c r="K22" s="26"/>
      <c r="L22" s="31">
        <f t="shared" si="0"/>
        <v>1E-4</v>
      </c>
      <c r="M22" s="10">
        <f t="shared" si="1"/>
        <v>3.6600000000000001E-4</v>
      </c>
      <c r="N22" s="11">
        <f t="shared" si="2"/>
        <v>3.6599999999999997</v>
      </c>
      <c r="O22" s="32" t="str">
        <f t="shared" si="10"/>
        <v>-I</v>
      </c>
      <c r="Q22" s="31">
        <f t="shared" si="3"/>
        <v>0.99963400000000002</v>
      </c>
      <c r="R22" s="10">
        <f t="shared" si="7"/>
        <v>0.99963400000000002</v>
      </c>
      <c r="S22" s="10">
        <f t="shared" si="4"/>
        <v>2.8900000000000002E-3</v>
      </c>
      <c r="T22" s="10">
        <f t="shared" si="8"/>
        <v>2.8900000000000002E-3</v>
      </c>
      <c r="U22" s="9">
        <f t="array" ref="U22">MIN(IF('Normen en duidingsklassen'!$E$13:$E$20&gt;=$M22,'Normen en duidingsklassen'!$E$13:$E$20))</f>
        <v>0.1</v>
      </c>
      <c r="V22" s="9">
        <f>IFERROR(MATCH($U22,'Normen en duidingsklassen'!$E$13:$E$20,),1)</f>
        <v>5</v>
      </c>
      <c r="W22" s="9" t="str">
        <f>INDEX('Normen en duidingsklassen'!$D$13:$D$20,STPH!V22)</f>
        <v>-I</v>
      </c>
      <c r="X22" s="12" t="b">
        <f t="shared" si="9"/>
        <v>0</v>
      </c>
    </row>
    <row r="23" spans="2:24" x14ac:dyDescent="0.25">
      <c r="B23" s="8"/>
      <c r="C23" s="9"/>
      <c r="D23" s="9"/>
      <c r="E23" s="23"/>
      <c r="F23" s="8"/>
      <c r="G23" s="10"/>
      <c r="H23" s="26"/>
      <c r="I23" s="8"/>
      <c r="J23" s="10"/>
      <c r="K23" s="26"/>
      <c r="L23" s="31"/>
      <c r="M23" s="10"/>
      <c r="N23" s="11"/>
      <c r="O23" s="32"/>
      <c r="Q23" s="31"/>
      <c r="R23" s="10"/>
      <c r="S23" s="10"/>
      <c r="T23" s="10"/>
      <c r="U23" s="9"/>
      <c r="V23" s="9"/>
      <c r="W23" s="9"/>
      <c r="X23" s="12"/>
    </row>
    <row r="24" spans="2:24" x14ac:dyDescent="0.25">
      <c r="B24" s="8"/>
      <c r="C24" s="9"/>
      <c r="D24" s="9"/>
      <c r="E24" s="23"/>
      <c r="F24" s="8"/>
      <c r="G24" s="10"/>
      <c r="H24" s="26"/>
      <c r="I24" s="8"/>
      <c r="J24" s="10"/>
      <c r="K24" s="26"/>
      <c r="L24" s="31"/>
      <c r="M24" s="10"/>
      <c r="N24" s="11"/>
      <c r="O24" s="32"/>
      <c r="Q24" s="31"/>
      <c r="R24" s="10"/>
      <c r="S24" s="10"/>
      <c r="T24" s="10"/>
      <c r="U24" s="9"/>
      <c r="V24" s="9"/>
      <c r="W24" s="9"/>
      <c r="X24" s="12"/>
    </row>
    <row r="25" spans="2:24" x14ac:dyDescent="0.25">
      <c r="B25" s="8"/>
      <c r="C25" s="9"/>
      <c r="D25" s="9"/>
      <c r="E25" s="23"/>
      <c r="F25" s="8"/>
      <c r="G25" s="10"/>
      <c r="H25" s="26"/>
      <c r="I25" s="8"/>
      <c r="J25" s="10"/>
      <c r="K25" s="26"/>
      <c r="L25" s="31"/>
      <c r="M25" s="10"/>
      <c r="N25" s="11"/>
      <c r="O25" s="32"/>
      <c r="Q25" s="31"/>
      <c r="R25" s="10"/>
      <c r="S25" s="10"/>
      <c r="T25" s="10"/>
      <c r="U25" s="9"/>
      <c r="V25" s="9"/>
      <c r="W25" s="9"/>
      <c r="X25" s="12"/>
    </row>
    <row r="26" spans="2:24" x14ac:dyDescent="0.25">
      <c r="B26" s="8"/>
      <c r="C26" s="9"/>
      <c r="D26" s="9"/>
      <c r="E26" s="23"/>
      <c r="F26" s="8"/>
      <c r="G26" s="10"/>
      <c r="H26" s="26"/>
      <c r="I26" s="8"/>
      <c r="J26" s="10"/>
      <c r="K26" s="26"/>
      <c r="L26" s="31"/>
      <c r="M26" s="10"/>
      <c r="N26" s="11"/>
      <c r="O26" s="32"/>
      <c r="Q26" s="31"/>
      <c r="R26" s="10"/>
      <c r="S26" s="10"/>
      <c r="T26" s="10"/>
      <c r="U26" s="9"/>
      <c r="V26" s="9"/>
      <c r="W26" s="9"/>
      <c r="X26" s="12"/>
    </row>
    <row r="27" spans="2:24" x14ac:dyDescent="0.25">
      <c r="B27" s="8"/>
      <c r="C27" s="9"/>
      <c r="D27" s="9"/>
      <c r="E27" s="23"/>
      <c r="F27" s="8"/>
      <c r="G27" s="10"/>
      <c r="H27" s="26"/>
      <c r="I27" s="8"/>
      <c r="J27" s="10"/>
      <c r="K27" s="26"/>
      <c r="L27" s="31"/>
      <c r="M27" s="10"/>
      <c r="N27" s="11"/>
      <c r="O27" s="32"/>
      <c r="Q27" s="31"/>
      <c r="R27" s="10"/>
      <c r="S27" s="10"/>
      <c r="T27" s="10"/>
      <c r="U27" s="9"/>
      <c r="V27" s="9"/>
      <c r="W27" s="9"/>
      <c r="X27" s="12"/>
    </row>
    <row r="28" spans="2:24" x14ac:dyDescent="0.25">
      <c r="B28" s="8"/>
      <c r="C28" s="9"/>
      <c r="D28" s="9"/>
      <c r="E28" s="23"/>
      <c r="F28" s="8"/>
      <c r="G28" s="10"/>
      <c r="H28" s="26"/>
      <c r="I28" s="8"/>
      <c r="J28" s="10"/>
      <c r="K28" s="26"/>
      <c r="L28" s="31"/>
      <c r="M28" s="10"/>
      <c r="N28" s="11"/>
      <c r="O28" s="32"/>
      <c r="Q28" s="31"/>
      <c r="R28" s="10"/>
      <c r="S28" s="10"/>
      <c r="T28" s="10"/>
      <c r="U28" s="9"/>
      <c r="V28" s="9"/>
      <c r="W28" s="9"/>
      <c r="X28" s="12"/>
    </row>
    <row r="29" spans="2:24" x14ac:dyDescent="0.25">
      <c r="B29" s="8"/>
      <c r="C29" s="9"/>
      <c r="D29" s="9"/>
      <c r="E29" s="23"/>
      <c r="F29" s="8"/>
      <c r="G29" s="10"/>
      <c r="H29" s="26"/>
      <c r="I29" s="8"/>
      <c r="J29" s="10"/>
      <c r="K29" s="26"/>
      <c r="L29" s="31"/>
      <c r="M29" s="10"/>
      <c r="N29" s="11"/>
      <c r="O29" s="32"/>
      <c r="Q29" s="31"/>
      <c r="R29" s="10"/>
      <c r="S29" s="10"/>
      <c r="T29" s="10"/>
      <c r="U29" s="9"/>
      <c r="V29" s="9"/>
      <c r="W29" s="9"/>
      <c r="X29" s="12"/>
    </row>
    <row r="30" spans="2:24" ht="15.75" thickBot="1" x14ac:dyDescent="0.3">
      <c r="B30" s="13"/>
      <c r="C30" s="14"/>
      <c r="D30" s="14"/>
      <c r="E30" s="24"/>
      <c r="F30" s="13"/>
      <c r="G30" s="15"/>
      <c r="H30" s="27"/>
      <c r="I30" s="13"/>
      <c r="J30" s="15"/>
      <c r="K30" s="27"/>
      <c r="L30" s="33"/>
      <c r="M30" s="15"/>
      <c r="N30" s="16"/>
      <c r="O30" s="34"/>
      <c r="Q30" s="33"/>
      <c r="R30" s="15"/>
      <c r="S30" s="15"/>
      <c r="T30" s="15"/>
      <c r="U30" s="14"/>
      <c r="V30" s="14"/>
      <c r="W30" s="14"/>
      <c r="X30" s="17"/>
    </row>
    <row r="31" spans="2:24" x14ac:dyDescent="0.25">
      <c r="Q31" s="1"/>
    </row>
    <row r="32" spans="2:24" x14ac:dyDescent="0.25">
      <c r="Q32" s="1"/>
    </row>
  </sheetData>
  <conditionalFormatting sqref="G11:H30">
    <cfRule type="expression" dxfId="81" priority="11">
      <formula>IF($E11="Nee",TRUE,FALSE)</formula>
    </cfRule>
  </conditionalFormatting>
  <conditionalFormatting sqref="J11:K30">
    <cfRule type="expression" dxfId="80" priority="10">
      <formula>IF($I11="Nee",TRUE,FALSE)</formula>
    </cfRule>
  </conditionalFormatting>
  <conditionalFormatting sqref="O11:O30">
    <cfRule type="cellIs" dxfId="79" priority="1" operator="equal">
      <formula>"0"</formula>
    </cfRule>
    <cfRule type="cellIs" dxfId="78" priority="2" operator="equal">
      <formula>"ND"</formula>
    </cfRule>
    <cfRule type="cellIs" dxfId="77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2" operator="endsWith" id="{F4C956AC-4E51-489A-B485-D8BDC4A2FBD8}">
            <xm:f>RIGHT(O11,LEN('Normen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3" operator="endsWith" id="{EC1E636F-FA52-4882-8914-4A6967CF2391}">
            <xm:f>RIGHT(O11,LEN('Normen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14" operator="endsWith" id="{FFF59E8A-EABB-417F-BB55-82036CECB9D8}">
            <xm:f>RIGHT(O11,LEN('Normen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15" operator="endsWith" id="{B198F5CD-E767-4F17-B69C-63325B705E57}">
            <xm:f>RIGHT(O11,LEN('Normen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6" operator="containsText" id="{3DC54A52-4129-476D-B4F0-C6819CA98DA8}">
            <xm:f>NOT(ISERROR(SEARCH('Normen en duidingsklassen'!$D$13,O11)))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7" operator="containsText" id="{679DAC17-7B4C-4FB7-B8DA-924271D929B5}">
            <xm:f>NOT(ISERROR(SEARCH('Normen en duidingsklassen'!$D$14,O11)))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O11:O30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E7586F0-4A97-4FE3-A954-2F42494980C3}">
          <x14:formula1>
            <xm:f>Informatiepagina!$B$15:$B$17</xm:f>
          </x14:formula1>
          <xm:sqref>E31:E46 F11:F30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A30DD-EAF1-4973-B290-E12CB5036732}">
  <dimension ref="B2:Y32"/>
  <sheetViews>
    <sheetView workbookViewId="0">
      <selection activeCell="O11" sqref="O11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" customWidth="1"/>
    <col min="12" max="12" width="11.1406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5" ht="15.75" thickBot="1" x14ac:dyDescent="0.3">
      <c r="B2" s="2" t="s">
        <v>49</v>
      </c>
      <c r="C2" s="2" t="s">
        <v>66</v>
      </c>
    </row>
    <row r="3" spans="2:25" x14ac:dyDescent="0.25">
      <c r="B3" s="36" t="s">
        <v>44</v>
      </c>
      <c r="C3" s="7">
        <v>14.8</v>
      </c>
    </row>
    <row r="4" spans="2:25" x14ac:dyDescent="0.25">
      <c r="B4" s="40" t="s">
        <v>109</v>
      </c>
      <c r="C4" s="12" t="s">
        <v>20</v>
      </c>
    </row>
    <row r="5" spans="2:25" x14ac:dyDescent="0.25">
      <c r="B5" s="40" t="s">
        <v>47</v>
      </c>
      <c r="C5" s="26" t="str">
        <f>IFERROR(MIN(1-PRODUCT(Q11:Q30),MAX(S11:S30)),"GR")</f>
        <v>GR</v>
      </c>
    </row>
    <row r="6" spans="2:25" x14ac:dyDescent="0.25">
      <c r="B6" s="40" t="s">
        <v>41</v>
      </c>
      <c r="C6" s="26">
        <f>MIN(1-PRODUCT(R11:R30),MAX(T11:T30))</f>
        <v>1.1238044587088547E-3</v>
      </c>
    </row>
    <row r="7" spans="2:25" ht="15.75" thickBot="1" x14ac:dyDescent="0.3">
      <c r="B7" s="41" t="s">
        <v>48</v>
      </c>
      <c r="C7" s="17" t="str">
        <f>IF(1-PRODUCT(R11:R30)&gt;MAX(T11:T30),"Ja","Nee")</f>
        <v>Nee</v>
      </c>
    </row>
    <row r="9" spans="2:25" ht="15.75" thickBot="1" x14ac:dyDescent="0.3">
      <c r="Q9" t="s">
        <v>65</v>
      </c>
    </row>
    <row r="10" spans="2:25" ht="60.75" thickBot="1" x14ac:dyDescent="0.3">
      <c r="B10" s="18" t="s">
        <v>0</v>
      </c>
      <c r="C10" s="19" t="s">
        <v>1</v>
      </c>
      <c r="D10" s="19" t="s">
        <v>80</v>
      </c>
      <c r="E10" s="21" t="s">
        <v>3</v>
      </c>
      <c r="F10" s="18" t="s">
        <v>23</v>
      </c>
      <c r="G10" s="19" t="s">
        <v>4</v>
      </c>
      <c r="H10" s="20" t="s">
        <v>5</v>
      </c>
      <c r="I10" s="18" t="s">
        <v>22</v>
      </c>
      <c r="J10" s="19" t="s">
        <v>6</v>
      </c>
      <c r="K10" s="20" t="s">
        <v>7</v>
      </c>
      <c r="L10" s="19" t="s">
        <v>27</v>
      </c>
      <c r="M10" s="19" t="s">
        <v>28</v>
      </c>
      <c r="N10" s="19" t="s">
        <v>29</v>
      </c>
      <c r="O10" s="20" t="s">
        <v>30</v>
      </c>
      <c r="P10" s="2"/>
      <c r="Q10" s="36" t="s">
        <v>42</v>
      </c>
      <c r="R10" s="37" t="s">
        <v>43</v>
      </c>
      <c r="S10" s="37" t="s">
        <v>45</v>
      </c>
      <c r="T10" s="37" t="s">
        <v>46</v>
      </c>
      <c r="U10" s="38" t="s">
        <v>62</v>
      </c>
      <c r="V10" s="38" t="s">
        <v>63</v>
      </c>
      <c r="W10" s="4"/>
      <c r="X10" s="39" t="s">
        <v>64</v>
      </c>
      <c r="Y10" s="35"/>
    </row>
    <row r="11" spans="2:25" x14ac:dyDescent="0.25">
      <c r="B11" s="3" t="s">
        <v>8</v>
      </c>
      <c r="C11" s="4">
        <v>0</v>
      </c>
      <c r="D11" s="4">
        <v>2</v>
      </c>
      <c r="E11" s="22" t="s">
        <v>20</v>
      </c>
      <c r="F11" s="3" t="s">
        <v>24</v>
      </c>
      <c r="G11" s="5">
        <v>0</v>
      </c>
      <c r="H11" s="25">
        <v>0</v>
      </c>
      <c r="I11" s="3" t="s">
        <v>21</v>
      </c>
      <c r="J11" s="5"/>
      <c r="K11" s="25"/>
      <c r="L11" s="29">
        <f t="shared" ref="L11:L18" si="0">IF($E11="Nee",0,IF(I11="Ja",IF(ISNUMBER(J11),J11,"-"),IF(ISNUMBER(G11),G11,"-")))</f>
        <v>0</v>
      </c>
      <c r="M11" s="5">
        <f t="shared" ref="M11:M18" si="1">IF($E11="Nee",0,IF(I11="Ja",IF(ISNUMBER(K11),K11,"-"),IF(ISNUMBER(H11),H11,"-")))</f>
        <v>0</v>
      </c>
      <c r="N11" s="6">
        <f t="shared" ref="N11:N22" si="2">IF(ISNUMBER(L11),IF(M11=0,1,M11/L11),"-")</f>
        <v>1</v>
      </c>
      <c r="O11" s="30" t="str">
        <f t="shared" ref="O11:O22" si="3">IF(E11="Nee","NR",IF(ISNUMBER($M11),W11,IF($X11,"D","ND")))</f>
        <v>+III</v>
      </c>
      <c r="Q11" s="31">
        <f t="shared" ref="Q11:Q22" si="4">IF(AND(F11="Geen faalkans",I11="Nee"),1,1-M11)</f>
        <v>1</v>
      </c>
      <c r="R11" s="10">
        <f>IF(M11="-",1,Q11)</f>
        <v>1</v>
      </c>
      <c r="S11" s="10">
        <f t="shared" ref="S11:S22" si="5">IF(AND(F11="Geen faalkans",I11="Nee"),0,L11*$C$3)</f>
        <v>0</v>
      </c>
      <c r="T11" s="10">
        <f>IF(L11="-",0,S11)</f>
        <v>0</v>
      </c>
      <c r="U11" s="9">
        <f t="array" ref="U11">MIN(IF('Normen en duidingsklassen'!$E$13:$E$20&gt;=$M11,'Normen en duidingsklassen'!$E$13:$E$20))</f>
        <v>0</v>
      </c>
      <c r="V11" s="9">
        <f>IFERROR(MATCH($U11,'Normen en duidingsklassen'!$E$13:$E$20,0),1)</f>
        <v>1</v>
      </c>
      <c r="W11" s="9" t="str">
        <f>INDEX('Normen en duidingsklassen'!$D$13:$D$20,V11)</f>
        <v>+III</v>
      </c>
      <c r="X11" s="12" t="b">
        <f>IF($E11="Ja",IF($I11="Ja",NOT(ISNUMBER($J11)),FALSE),FALSE)</f>
        <v>0</v>
      </c>
    </row>
    <row r="12" spans="2:25" x14ac:dyDescent="0.25">
      <c r="B12" s="8" t="s">
        <v>9</v>
      </c>
      <c r="C12" s="9">
        <v>2</v>
      </c>
      <c r="D12" s="9">
        <v>4</v>
      </c>
      <c r="E12" s="23" t="s">
        <v>20</v>
      </c>
      <c r="F12" s="8" t="s">
        <v>24</v>
      </c>
      <c r="G12" s="10">
        <v>2.3699999999999999E-4</v>
      </c>
      <c r="H12" s="26">
        <v>5.4984000000000001E-4</v>
      </c>
      <c r="I12" s="8" t="s">
        <v>21</v>
      </c>
      <c r="J12" s="10"/>
      <c r="K12" s="26"/>
      <c r="L12" s="31">
        <f t="shared" si="0"/>
        <v>2.3699999999999999E-4</v>
      </c>
      <c r="M12" s="10">
        <f t="shared" si="1"/>
        <v>5.4984000000000001E-4</v>
      </c>
      <c r="N12" s="11">
        <f t="shared" si="2"/>
        <v>2.3200000000000003</v>
      </c>
      <c r="O12" s="32" t="str">
        <f t="shared" si="3"/>
        <v>-I</v>
      </c>
      <c r="Q12" s="31">
        <f t="shared" si="4"/>
        <v>0.99945015999999998</v>
      </c>
      <c r="R12" s="10">
        <f t="shared" ref="R12:R22" si="6">IF(M12="-",1,Q12)</f>
        <v>0.99945015999999998</v>
      </c>
      <c r="S12" s="10">
        <f t="shared" si="5"/>
        <v>3.5076E-3</v>
      </c>
      <c r="T12" s="10">
        <f t="shared" ref="T12:T22" si="7">IF(L12="-",0,S12)</f>
        <v>3.5076E-3</v>
      </c>
      <c r="U12" s="9">
        <f t="array" ref="U12">MIN(IF('Normen en duidingsklassen'!$E$13:$E$20&gt;=$M12,'Normen en duidingsklassen'!$E$13:$E$20))</f>
        <v>0.1</v>
      </c>
      <c r="V12" s="9">
        <f>IFERROR(MATCH($U12,'Normen en duidingsklassen'!$E$13:$E$20,0),1)</f>
        <v>5</v>
      </c>
      <c r="W12" s="9" t="str">
        <f>INDEX('Normen en duidingsklassen'!$D$13:$D$20,V12)</f>
        <v>-I</v>
      </c>
      <c r="X12" s="12" t="b">
        <f t="shared" ref="X12:X22" si="8">IF($E12="Ja",IF($I12="Ja",NOT(ISNUMBER($J12)),FALSE),FALSE)</f>
        <v>0</v>
      </c>
    </row>
    <row r="13" spans="2:25" x14ac:dyDescent="0.25">
      <c r="B13" s="8" t="s">
        <v>10</v>
      </c>
      <c r="C13" s="9">
        <v>4</v>
      </c>
      <c r="D13" s="9">
        <v>6</v>
      </c>
      <c r="E13" s="23" t="s">
        <v>20</v>
      </c>
      <c r="F13" s="8" t="s">
        <v>24</v>
      </c>
      <c r="G13" s="10">
        <v>1E-50</v>
      </c>
      <c r="H13" s="26">
        <v>2.3200000000000003E-50</v>
      </c>
      <c r="I13" s="8" t="s">
        <v>21</v>
      </c>
      <c r="J13" s="10"/>
      <c r="K13" s="26"/>
      <c r="L13" s="31">
        <f t="shared" si="0"/>
        <v>1E-50</v>
      </c>
      <c r="M13" s="10">
        <f t="shared" si="1"/>
        <v>2.3200000000000003E-50</v>
      </c>
      <c r="N13" s="11">
        <f t="shared" si="2"/>
        <v>2.3200000000000003</v>
      </c>
      <c r="O13" s="32" t="str">
        <f t="shared" si="3"/>
        <v>-I</v>
      </c>
      <c r="Q13" s="31">
        <f t="shared" si="4"/>
        <v>1</v>
      </c>
      <c r="R13" s="10">
        <f t="shared" si="6"/>
        <v>1</v>
      </c>
      <c r="S13" s="10">
        <f t="shared" si="5"/>
        <v>1.48E-49</v>
      </c>
      <c r="T13" s="10">
        <f t="shared" si="7"/>
        <v>1.48E-49</v>
      </c>
      <c r="U13" s="9">
        <f t="array" ref="U13">MIN(IF('Normen en duidingsklassen'!$E$13:$E$20&gt;=$M13,'Normen en duidingsklassen'!$E$13:$E$20))</f>
        <v>0.1</v>
      </c>
      <c r="V13" s="9">
        <f>IFERROR(MATCH($U13,'Normen en duidingsklassen'!$E$13:$E$20,0),1)</f>
        <v>5</v>
      </c>
      <c r="W13" s="9" t="str">
        <f>INDEX('Normen en duidingsklassen'!$D$13:$D$20,V13)</f>
        <v>-I</v>
      </c>
      <c r="X13" s="12" t="b">
        <f t="shared" si="8"/>
        <v>0</v>
      </c>
    </row>
    <row r="14" spans="2:25" x14ac:dyDescent="0.25">
      <c r="B14" s="8" t="s">
        <v>11</v>
      </c>
      <c r="C14" s="9">
        <v>6</v>
      </c>
      <c r="D14" s="9">
        <v>8</v>
      </c>
      <c r="E14" s="23" t="s">
        <v>21</v>
      </c>
      <c r="F14" s="8" t="s">
        <v>25</v>
      </c>
      <c r="G14" s="10"/>
      <c r="H14" s="26"/>
      <c r="I14" s="8" t="s">
        <v>21</v>
      </c>
      <c r="J14" s="10"/>
      <c r="K14" s="26"/>
      <c r="L14" s="31">
        <f t="shared" si="0"/>
        <v>0</v>
      </c>
      <c r="M14" s="10">
        <f t="shared" si="1"/>
        <v>0</v>
      </c>
      <c r="N14" s="11">
        <f t="shared" si="2"/>
        <v>1</v>
      </c>
      <c r="O14" s="32" t="str">
        <f t="shared" si="3"/>
        <v>NR</v>
      </c>
      <c r="Q14" s="31">
        <f t="shared" si="4"/>
        <v>1</v>
      </c>
      <c r="R14" s="10">
        <f t="shared" si="6"/>
        <v>1</v>
      </c>
      <c r="S14" s="10">
        <f t="shared" si="5"/>
        <v>0</v>
      </c>
      <c r="T14" s="10">
        <f t="shared" si="7"/>
        <v>0</v>
      </c>
      <c r="U14" s="9">
        <f t="array" ref="U14">MIN(IF('Normen en duidingsklassen'!$E$13:$E$20&gt;=$M14,'Normen en duidingsklassen'!$E$13:$E$20))</f>
        <v>0</v>
      </c>
      <c r="V14" s="9">
        <f>IFERROR(MATCH($U14,'Normen en duidingsklassen'!$E$13:$E$20,0),1)</f>
        <v>1</v>
      </c>
      <c r="W14" s="9" t="str">
        <f>INDEX('Normen en duidingsklassen'!$D$13:$D$20,V14)</f>
        <v>+III</v>
      </c>
      <c r="X14" s="12" t="b">
        <f t="shared" si="8"/>
        <v>0</v>
      </c>
    </row>
    <row r="15" spans="2:25" x14ac:dyDescent="0.25">
      <c r="B15" s="8" t="s">
        <v>12</v>
      </c>
      <c r="C15" s="9">
        <v>8</v>
      </c>
      <c r="D15" s="9">
        <v>10</v>
      </c>
      <c r="E15" s="23" t="s">
        <v>20</v>
      </c>
      <c r="F15" s="8" t="s">
        <v>24</v>
      </c>
      <c r="G15" s="10">
        <v>2.3751999999999999E-4</v>
      </c>
      <c r="H15" s="26">
        <v>5.5104640000000005E-4</v>
      </c>
      <c r="I15" s="8" t="s">
        <v>21</v>
      </c>
      <c r="J15" s="10"/>
      <c r="K15" s="26"/>
      <c r="L15" s="31">
        <f t="shared" si="0"/>
        <v>2.3751999999999999E-4</v>
      </c>
      <c r="M15" s="10">
        <f t="shared" si="1"/>
        <v>5.5104640000000005E-4</v>
      </c>
      <c r="N15" s="11">
        <f t="shared" si="2"/>
        <v>2.3200000000000003</v>
      </c>
      <c r="O15" s="32" t="str">
        <f t="shared" si="3"/>
        <v>-I</v>
      </c>
      <c r="Q15" s="31">
        <f t="shared" si="4"/>
        <v>0.99944895359999997</v>
      </c>
      <c r="R15" s="10">
        <f t="shared" si="6"/>
        <v>0.99944895359999997</v>
      </c>
      <c r="S15" s="10">
        <f t="shared" si="5"/>
        <v>3.5152960000000002E-3</v>
      </c>
      <c r="T15" s="10">
        <f t="shared" si="7"/>
        <v>3.5152960000000002E-3</v>
      </c>
      <c r="U15" s="9">
        <f t="array" ref="U15">MIN(IF('Normen en duidingsklassen'!$E$13:$E$20&gt;=$M15,'Normen en duidingsklassen'!$E$13:$E$20))</f>
        <v>0.1</v>
      </c>
      <c r="V15" s="9">
        <f>IFERROR(MATCH($U15,'Normen en duidingsklassen'!$E$13:$E$20,0),1)</f>
        <v>5</v>
      </c>
      <c r="W15" s="9" t="str">
        <f>INDEX('Normen en duidingsklassen'!$D$13:$D$20,V15)</f>
        <v>-I</v>
      </c>
      <c r="X15" s="12" t="b">
        <f t="shared" si="8"/>
        <v>0</v>
      </c>
    </row>
    <row r="16" spans="2:25" x14ac:dyDescent="0.25">
      <c r="B16" s="8" t="s">
        <v>13</v>
      </c>
      <c r="C16" s="9">
        <v>10</v>
      </c>
      <c r="D16" s="9">
        <v>12</v>
      </c>
      <c r="E16" s="23" t="s">
        <v>21</v>
      </c>
      <c r="F16" s="8" t="s">
        <v>25</v>
      </c>
      <c r="G16" s="10"/>
      <c r="H16" s="26"/>
      <c r="I16" s="8" t="s">
        <v>21</v>
      </c>
      <c r="J16" s="10"/>
      <c r="K16" s="26"/>
      <c r="L16" s="31">
        <f t="shared" si="0"/>
        <v>0</v>
      </c>
      <c r="M16" s="10">
        <f t="shared" si="1"/>
        <v>0</v>
      </c>
      <c r="N16" s="11">
        <f t="shared" si="2"/>
        <v>1</v>
      </c>
      <c r="O16" s="32" t="str">
        <f t="shared" si="3"/>
        <v>NR</v>
      </c>
      <c r="Q16" s="31">
        <f t="shared" si="4"/>
        <v>1</v>
      </c>
      <c r="R16" s="10">
        <f t="shared" si="6"/>
        <v>1</v>
      </c>
      <c r="S16" s="10">
        <f t="shared" si="5"/>
        <v>0</v>
      </c>
      <c r="T16" s="10">
        <f t="shared" si="7"/>
        <v>0</v>
      </c>
      <c r="U16" s="9">
        <f t="array" ref="U16">MIN(IF('Normen en duidingsklassen'!$E$13:$E$20&gt;=$M16,'Normen en duidingsklassen'!$E$13:$E$20))</f>
        <v>0</v>
      </c>
      <c r="V16" s="9">
        <f>IFERROR(MATCH($U16,'Normen en duidingsklassen'!$E$13:$E$20,0),1)</f>
        <v>1</v>
      </c>
      <c r="W16" s="9" t="str">
        <f>INDEX('Normen en duidingsklassen'!$D$13:$D$20,V16)</f>
        <v>+III</v>
      </c>
      <c r="X16" s="12" t="b">
        <f t="shared" si="8"/>
        <v>0</v>
      </c>
    </row>
    <row r="17" spans="2:24" x14ac:dyDescent="0.25">
      <c r="B17" s="8" t="s">
        <v>14</v>
      </c>
      <c r="C17" s="9">
        <v>12</v>
      </c>
      <c r="D17" s="9">
        <v>14</v>
      </c>
      <c r="E17" s="23" t="s">
        <v>20</v>
      </c>
      <c r="F17" s="8" t="s">
        <v>24</v>
      </c>
      <c r="G17" s="10">
        <v>0.1</v>
      </c>
      <c r="H17" s="26">
        <f>G17*2.32</f>
        <v>0.23199999999999998</v>
      </c>
      <c r="I17" s="8" t="s">
        <v>20</v>
      </c>
      <c r="J17" s="10">
        <v>1.0000000000000001E-5</v>
      </c>
      <c r="K17" s="26">
        <v>2.3200000000000005E-5</v>
      </c>
      <c r="L17" s="31">
        <f t="shared" si="0"/>
        <v>1.0000000000000001E-5</v>
      </c>
      <c r="M17" s="10">
        <f t="shared" si="1"/>
        <v>2.3200000000000005E-5</v>
      </c>
      <c r="N17" s="11">
        <f t="shared" si="2"/>
        <v>2.3200000000000003</v>
      </c>
      <c r="O17" s="32" t="str">
        <f t="shared" si="3"/>
        <v>-I</v>
      </c>
      <c r="Q17" s="31">
        <f t="shared" si="4"/>
        <v>0.9999768</v>
      </c>
      <c r="R17" s="10">
        <f t="shared" si="6"/>
        <v>0.9999768</v>
      </c>
      <c r="S17" s="10">
        <f t="shared" si="5"/>
        <v>1.4800000000000002E-4</v>
      </c>
      <c r="T17" s="10">
        <f t="shared" si="7"/>
        <v>1.4800000000000002E-4</v>
      </c>
      <c r="U17" s="9">
        <f t="array" ref="U17">MIN(IF('Normen en duidingsklassen'!$E$13:$E$20&gt;=$M17,'Normen en duidingsklassen'!$E$13:$E$20))</f>
        <v>0.1</v>
      </c>
      <c r="V17" s="9">
        <f>IFERROR(MATCH($U17,'Normen en duidingsklassen'!$E$13:$E$20,0),1)</f>
        <v>5</v>
      </c>
      <c r="W17" s="9" t="str">
        <f>INDEX('Normen en duidingsklassen'!$D$13:$D$20,V17)</f>
        <v>-I</v>
      </c>
      <c r="X17" s="12" t="b">
        <f t="shared" si="8"/>
        <v>0</v>
      </c>
    </row>
    <row r="18" spans="2:24" x14ac:dyDescent="0.25">
      <c r="B18" s="8" t="s">
        <v>15</v>
      </c>
      <c r="C18" s="9">
        <v>14</v>
      </c>
      <c r="D18" s="9">
        <v>16</v>
      </c>
      <c r="E18" s="23" t="s">
        <v>20</v>
      </c>
      <c r="F18" s="8" t="s">
        <v>24</v>
      </c>
      <c r="G18" s="10">
        <v>2.3800000000000001E-4</v>
      </c>
      <c r="H18" s="26">
        <f t="shared" ref="H18:H22" si="9">G18*2.32</f>
        <v>5.5216E-4</v>
      </c>
      <c r="I18" s="8" t="s">
        <v>20</v>
      </c>
      <c r="J18" s="10">
        <v>1E-10</v>
      </c>
      <c r="K18" s="26">
        <v>2.3200000000000003E-10</v>
      </c>
      <c r="L18" s="31">
        <f t="shared" si="0"/>
        <v>1E-10</v>
      </c>
      <c r="M18" s="10">
        <f t="shared" si="1"/>
        <v>2.3200000000000003E-10</v>
      </c>
      <c r="N18" s="11">
        <f t="shared" si="2"/>
        <v>2.3200000000000003</v>
      </c>
      <c r="O18" s="32" t="str">
        <f t="shared" si="3"/>
        <v>-I</v>
      </c>
      <c r="Q18" s="31">
        <f t="shared" si="4"/>
        <v>0.99999999976800003</v>
      </c>
      <c r="R18" s="10">
        <f t="shared" si="6"/>
        <v>0.99999999976800003</v>
      </c>
      <c r="S18" s="10">
        <f t="shared" si="5"/>
        <v>1.4800000000000001E-9</v>
      </c>
      <c r="T18" s="10">
        <f t="shared" si="7"/>
        <v>1.4800000000000001E-9</v>
      </c>
      <c r="U18" s="9">
        <f t="array" ref="U18">MIN(IF('Normen en duidingsklassen'!$E$13:$E$20&gt;=$M18,'Normen en duidingsklassen'!$E$13:$E$20))</f>
        <v>0.1</v>
      </c>
      <c r="V18" s="9">
        <f>IFERROR(MATCH($U18,'Normen en duidingsklassen'!$E$13:$E$20,0),1)</f>
        <v>5</v>
      </c>
      <c r="W18" s="9" t="str">
        <f>INDEX('Normen en duidingsklassen'!$D$13:$D$20,V18)</f>
        <v>-I</v>
      </c>
      <c r="X18" s="12" t="b">
        <f t="shared" si="8"/>
        <v>0</v>
      </c>
    </row>
    <row r="19" spans="2:24" x14ac:dyDescent="0.25">
      <c r="B19" s="8" t="s">
        <v>16</v>
      </c>
      <c r="C19" s="9">
        <v>16</v>
      </c>
      <c r="D19" s="9">
        <v>18</v>
      </c>
      <c r="E19" s="23" t="s">
        <v>20</v>
      </c>
      <c r="F19" s="8" t="s">
        <v>24</v>
      </c>
      <c r="G19" s="10">
        <v>1</v>
      </c>
      <c r="H19" s="26">
        <v>1</v>
      </c>
      <c r="I19" s="8" t="s">
        <v>20</v>
      </c>
      <c r="J19" s="10"/>
      <c r="K19" s="26"/>
      <c r="L19" s="31" t="str">
        <f>IF($E19="Nee",0,IF(I19="Ja",IF(ISNUMBER(J19),J19,"-"),IF(ISNUMBER(G19),G19,"-")))</f>
        <v>-</v>
      </c>
      <c r="M19" s="10" t="str">
        <f>IF($E19="Nee",0,IF(I19="Ja",IF(ISNUMBER(K19),K19,"-"),IF(ISNUMBER(H19),H19,"-")))</f>
        <v>-</v>
      </c>
      <c r="N19" s="11" t="str">
        <f t="shared" si="2"/>
        <v>-</v>
      </c>
      <c r="O19" s="32" t="str">
        <f t="shared" si="3"/>
        <v>D</v>
      </c>
      <c r="Q19" s="31" t="e">
        <f t="shared" si="4"/>
        <v>#VALUE!</v>
      </c>
      <c r="R19" s="10">
        <f t="shared" si="6"/>
        <v>1</v>
      </c>
      <c r="S19" s="10" t="e">
        <f t="shared" si="5"/>
        <v>#VALUE!</v>
      </c>
      <c r="T19" s="10">
        <f t="shared" si="7"/>
        <v>0</v>
      </c>
      <c r="U19" s="9">
        <f t="array" ref="U19">MIN(IF('Normen en duidingsklassen'!$E$13:$E$20&gt;=$M19,'Normen en duidingsklassen'!$E$13:$E$20))</f>
        <v>0</v>
      </c>
      <c r="V19" s="9">
        <f>IFERROR(MATCH($U19,'Normen en duidingsklassen'!$E$13:$E$20,0),1)</f>
        <v>1</v>
      </c>
      <c r="W19" s="9" t="str">
        <f>INDEX('Normen en duidingsklassen'!$D$13:$D$20,V19)</f>
        <v>+III</v>
      </c>
      <c r="X19" s="12" t="b">
        <f t="shared" si="8"/>
        <v>1</v>
      </c>
    </row>
    <row r="20" spans="2:24" x14ac:dyDescent="0.25">
      <c r="B20" s="8" t="s">
        <v>17</v>
      </c>
      <c r="C20" s="9">
        <v>18</v>
      </c>
      <c r="D20" s="9">
        <v>20</v>
      </c>
      <c r="E20" s="23" t="s">
        <v>20</v>
      </c>
      <c r="F20" s="8" t="s">
        <v>24</v>
      </c>
      <c r="G20" s="10">
        <v>0.5</v>
      </c>
      <c r="H20" s="26">
        <v>1</v>
      </c>
      <c r="I20" s="8" t="s">
        <v>20</v>
      </c>
      <c r="J20" s="10">
        <v>0</v>
      </c>
      <c r="K20" s="26">
        <v>0</v>
      </c>
      <c r="L20" s="31">
        <f t="shared" ref="L20:L22" si="10">IF($E20="Nee",0,IF(I20="Ja",IF(ISNUMBER(J20),J20,"-"),IF(ISNUMBER(G20),G20,"-")))</f>
        <v>0</v>
      </c>
      <c r="M20" s="10">
        <f t="shared" ref="M20:M22" si="11">IF($E20="Nee",0,IF(I20="Ja",IF(ISNUMBER(K20),K20,"-"),IF(ISNUMBER(H20),H20,"-")))</f>
        <v>0</v>
      </c>
      <c r="N20" s="11">
        <f t="shared" si="2"/>
        <v>1</v>
      </c>
      <c r="O20" s="32" t="str">
        <f t="shared" si="3"/>
        <v>+III</v>
      </c>
      <c r="Q20" s="31">
        <f t="shared" si="4"/>
        <v>1</v>
      </c>
      <c r="R20" s="10">
        <f t="shared" si="6"/>
        <v>1</v>
      </c>
      <c r="S20" s="10">
        <f t="shared" si="5"/>
        <v>0</v>
      </c>
      <c r="T20" s="10">
        <f t="shared" si="7"/>
        <v>0</v>
      </c>
      <c r="U20" s="9">
        <f t="array" ref="U20">MIN(IF('Normen en duidingsklassen'!$E$13:$E$20&gt;=$M20,'Normen en duidingsklassen'!$E$13:$E$20))</f>
        <v>0</v>
      </c>
      <c r="V20" s="9">
        <f>IFERROR(MATCH($U20,'Normen en duidingsklassen'!$E$13:$E$20,0),1)</f>
        <v>1</v>
      </c>
      <c r="W20" s="9" t="str">
        <f>INDEX('Normen en duidingsklassen'!$D$13:$D$20,V20)</f>
        <v>+III</v>
      </c>
      <c r="X20" s="12" t="b">
        <f t="shared" si="8"/>
        <v>0</v>
      </c>
    </row>
    <row r="21" spans="2:24" x14ac:dyDescent="0.25">
      <c r="B21" s="8" t="s">
        <v>18</v>
      </c>
      <c r="C21" s="9">
        <v>20</v>
      </c>
      <c r="D21" s="9">
        <v>22</v>
      </c>
      <c r="E21" s="23" t="s">
        <v>20</v>
      </c>
      <c r="F21" s="8" t="s">
        <v>24</v>
      </c>
      <c r="G21" s="10">
        <v>0.1</v>
      </c>
      <c r="H21" s="26">
        <f t="shared" si="9"/>
        <v>0.23199999999999998</v>
      </c>
      <c r="I21" s="8" t="s">
        <v>20</v>
      </c>
      <c r="J21" s="10">
        <v>1E-8</v>
      </c>
      <c r="K21" s="26">
        <v>2.3200000000000003E-8</v>
      </c>
      <c r="L21" s="31">
        <f t="shared" si="10"/>
        <v>1E-8</v>
      </c>
      <c r="M21" s="10">
        <f t="shared" si="11"/>
        <v>2.3200000000000003E-8</v>
      </c>
      <c r="N21" s="11">
        <f t="shared" si="2"/>
        <v>2.3200000000000003</v>
      </c>
      <c r="O21" s="32" t="str">
        <f t="shared" si="3"/>
        <v>-I</v>
      </c>
      <c r="Q21" s="31">
        <f t="shared" si="4"/>
        <v>0.99999997679999997</v>
      </c>
      <c r="R21" s="10">
        <f t="shared" si="6"/>
        <v>0.99999997679999997</v>
      </c>
      <c r="S21" s="10">
        <f t="shared" si="5"/>
        <v>1.48E-7</v>
      </c>
      <c r="T21" s="10">
        <f t="shared" si="7"/>
        <v>1.48E-7</v>
      </c>
      <c r="U21" s="9">
        <f t="array" ref="U21">MIN(IF('Normen en duidingsklassen'!$E$13:$E$20&gt;=$M21,'Normen en duidingsklassen'!$E$13:$E$20))</f>
        <v>0.1</v>
      </c>
      <c r="V21" s="9">
        <f>IFERROR(MATCH($U21,'Normen en duidingsklassen'!$E$13:$E$20,0),1)</f>
        <v>5</v>
      </c>
      <c r="W21" s="9" t="str">
        <f>INDEX('Normen en duidingsklassen'!$D$13:$D$20,V21)</f>
        <v>-I</v>
      </c>
      <c r="X21" s="12" t="b">
        <f t="shared" si="8"/>
        <v>0</v>
      </c>
    </row>
    <row r="22" spans="2:24" x14ac:dyDescent="0.25">
      <c r="B22" s="8" t="s">
        <v>19</v>
      </c>
      <c r="C22" s="9">
        <v>22</v>
      </c>
      <c r="D22" s="9">
        <v>24</v>
      </c>
      <c r="E22" s="23" t="s">
        <v>20</v>
      </c>
      <c r="F22" s="8" t="s">
        <v>24</v>
      </c>
      <c r="G22" s="10">
        <v>9.9000000000000005E-2</v>
      </c>
      <c r="H22" s="26">
        <f t="shared" si="9"/>
        <v>0.22968</v>
      </c>
      <c r="I22" s="8" t="s">
        <v>20</v>
      </c>
      <c r="J22" s="10">
        <v>1E-8</v>
      </c>
      <c r="K22" s="26">
        <v>2.3200000000000003E-8</v>
      </c>
      <c r="L22" s="31">
        <f t="shared" si="10"/>
        <v>1E-8</v>
      </c>
      <c r="M22" s="10">
        <f t="shared" si="11"/>
        <v>2.3200000000000003E-8</v>
      </c>
      <c r="N22" s="11">
        <f t="shared" si="2"/>
        <v>2.3200000000000003</v>
      </c>
      <c r="O22" s="32" t="str">
        <f t="shared" si="3"/>
        <v>-I</v>
      </c>
      <c r="Q22" s="31">
        <f t="shared" si="4"/>
        <v>0.99999997679999997</v>
      </c>
      <c r="R22" s="10">
        <f t="shared" si="6"/>
        <v>0.99999997679999997</v>
      </c>
      <c r="S22" s="10">
        <f t="shared" si="5"/>
        <v>1.48E-7</v>
      </c>
      <c r="T22" s="10">
        <f t="shared" si="7"/>
        <v>1.48E-7</v>
      </c>
      <c r="U22" s="9">
        <f t="array" ref="U22">MIN(IF('Normen en duidingsklassen'!$E$13:$E$20&gt;=$M22,'Normen en duidingsklassen'!$E$13:$E$20))</f>
        <v>0.1</v>
      </c>
      <c r="V22" s="9">
        <f>IFERROR(MATCH($U22,'Normen en duidingsklassen'!$E$13:$E$20,0),1)</f>
        <v>5</v>
      </c>
      <c r="W22" s="9" t="str">
        <f>INDEX('Normen en duidingsklassen'!$D$13:$D$20,V22)</f>
        <v>-I</v>
      </c>
      <c r="X22" s="12" t="b">
        <f t="shared" si="8"/>
        <v>0</v>
      </c>
    </row>
    <row r="23" spans="2:24" x14ac:dyDescent="0.25">
      <c r="B23" s="8"/>
      <c r="C23" s="9"/>
      <c r="D23" s="9"/>
      <c r="E23" s="23"/>
      <c r="F23" s="8"/>
      <c r="G23" s="10"/>
      <c r="H23" s="26"/>
      <c r="I23" s="8"/>
      <c r="J23" s="10"/>
      <c r="K23" s="26"/>
      <c r="L23" s="31"/>
      <c r="M23" s="10"/>
      <c r="N23" s="11"/>
      <c r="O23" s="32"/>
      <c r="Q23" s="31"/>
      <c r="R23" s="10"/>
      <c r="S23" s="10"/>
      <c r="T23" s="10"/>
      <c r="U23" s="9"/>
      <c r="V23" s="9"/>
      <c r="W23" s="9"/>
      <c r="X23" s="12"/>
    </row>
    <row r="24" spans="2:24" x14ac:dyDescent="0.25">
      <c r="B24" s="8"/>
      <c r="C24" s="9"/>
      <c r="D24" s="9"/>
      <c r="E24" s="23"/>
      <c r="F24" s="8"/>
      <c r="G24" s="10"/>
      <c r="H24" s="26"/>
      <c r="I24" s="8"/>
      <c r="J24" s="10"/>
      <c r="K24" s="26"/>
      <c r="L24" s="31"/>
      <c r="M24" s="10"/>
      <c r="N24" s="11"/>
      <c r="O24" s="32"/>
      <c r="Q24" s="31"/>
      <c r="R24" s="10"/>
      <c r="S24" s="10"/>
      <c r="T24" s="10"/>
      <c r="U24" s="9"/>
      <c r="V24" s="9"/>
      <c r="W24" s="9"/>
      <c r="X24" s="12"/>
    </row>
    <row r="25" spans="2:24" x14ac:dyDescent="0.25">
      <c r="B25" s="8"/>
      <c r="C25" s="9"/>
      <c r="D25" s="9"/>
      <c r="E25" s="23"/>
      <c r="F25" s="8"/>
      <c r="G25" s="10"/>
      <c r="H25" s="26"/>
      <c r="I25" s="8"/>
      <c r="J25" s="10"/>
      <c r="K25" s="26"/>
      <c r="L25" s="31"/>
      <c r="M25" s="10"/>
      <c r="N25" s="11"/>
      <c r="O25" s="32"/>
      <c r="Q25" s="31"/>
      <c r="R25" s="10"/>
      <c r="S25" s="10"/>
      <c r="T25" s="10"/>
      <c r="U25" s="9"/>
      <c r="V25" s="9"/>
      <c r="W25" s="9"/>
      <c r="X25" s="12"/>
    </row>
    <row r="26" spans="2:24" x14ac:dyDescent="0.25">
      <c r="B26" s="8"/>
      <c r="C26" s="9"/>
      <c r="D26" s="9"/>
      <c r="E26" s="23"/>
      <c r="F26" s="8"/>
      <c r="G26" s="10"/>
      <c r="H26" s="26"/>
      <c r="I26" s="8"/>
      <c r="J26" s="10"/>
      <c r="K26" s="26"/>
      <c r="L26" s="31"/>
      <c r="M26" s="10"/>
      <c r="N26" s="11"/>
      <c r="O26" s="32"/>
      <c r="Q26" s="31"/>
      <c r="R26" s="10"/>
      <c r="S26" s="10"/>
      <c r="T26" s="10"/>
      <c r="U26" s="9"/>
      <c r="V26" s="9"/>
      <c r="W26" s="9"/>
      <c r="X26" s="12"/>
    </row>
    <row r="27" spans="2:24" x14ac:dyDescent="0.25">
      <c r="B27" s="8"/>
      <c r="C27" s="9"/>
      <c r="D27" s="9"/>
      <c r="E27" s="23"/>
      <c r="F27" s="8"/>
      <c r="G27" s="10"/>
      <c r="H27" s="26"/>
      <c r="I27" s="8"/>
      <c r="J27" s="10"/>
      <c r="K27" s="26"/>
      <c r="L27" s="31"/>
      <c r="M27" s="10"/>
      <c r="N27" s="11"/>
      <c r="O27" s="32"/>
      <c r="Q27" s="31"/>
      <c r="R27" s="10"/>
      <c r="S27" s="10"/>
      <c r="T27" s="10"/>
      <c r="U27" s="9"/>
      <c r="V27" s="9"/>
      <c r="W27" s="9"/>
      <c r="X27" s="12"/>
    </row>
    <row r="28" spans="2:24" x14ac:dyDescent="0.25">
      <c r="B28" s="8"/>
      <c r="C28" s="9"/>
      <c r="D28" s="9"/>
      <c r="E28" s="23"/>
      <c r="F28" s="8"/>
      <c r="G28" s="10"/>
      <c r="H28" s="26"/>
      <c r="I28" s="8"/>
      <c r="J28" s="10"/>
      <c r="K28" s="26"/>
      <c r="L28" s="31"/>
      <c r="M28" s="10"/>
      <c r="N28" s="11"/>
      <c r="O28" s="32"/>
      <c r="Q28" s="31"/>
      <c r="R28" s="10"/>
      <c r="S28" s="10"/>
      <c r="T28" s="10"/>
      <c r="U28" s="9"/>
      <c r="V28" s="9"/>
      <c r="W28" s="9"/>
      <c r="X28" s="12"/>
    </row>
    <row r="29" spans="2:24" x14ac:dyDescent="0.25">
      <c r="B29" s="8"/>
      <c r="C29" s="9"/>
      <c r="D29" s="9"/>
      <c r="E29" s="23"/>
      <c r="F29" s="8"/>
      <c r="G29" s="10"/>
      <c r="H29" s="26"/>
      <c r="I29" s="8"/>
      <c r="J29" s="10"/>
      <c r="K29" s="26"/>
      <c r="L29" s="31"/>
      <c r="M29" s="10"/>
      <c r="N29" s="11"/>
      <c r="O29" s="32"/>
      <c r="Q29" s="31"/>
      <c r="R29" s="10"/>
      <c r="S29" s="10"/>
      <c r="T29" s="10"/>
      <c r="U29" s="9"/>
      <c r="V29" s="9"/>
      <c r="W29" s="9"/>
      <c r="X29" s="12"/>
    </row>
    <row r="30" spans="2:24" ht="15.75" thickBot="1" x14ac:dyDescent="0.3">
      <c r="B30" s="13"/>
      <c r="C30" s="14"/>
      <c r="D30" s="14"/>
      <c r="E30" s="24"/>
      <c r="F30" s="13"/>
      <c r="G30" s="15"/>
      <c r="H30" s="27"/>
      <c r="I30" s="13"/>
      <c r="J30" s="15"/>
      <c r="K30" s="27"/>
      <c r="L30" s="33"/>
      <c r="M30" s="15"/>
      <c r="N30" s="16"/>
      <c r="O30" s="34"/>
      <c r="Q30" s="33"/>
      <c r="R30" s="15"/>
      <c r="S30" s="15"/>
      <c r="T30" s="15"/>
      <c r="U30" s="14"/>
      <c r="V30" s="14"/>
      <c r="W30" s="14"/>
      <c r="X30" s="17"/>
    </row>
    <row r="31" spans="2:24" x14ac:dyDescent="0.25">
      <c r="Q31" s="1"/>
    </row>
    <row r="32" spans="2:24" x14ac:dyDescent="0.25">
      <c r="Q32" s="1"/>
    </row>
  </sheetData>
  <conditionalFormatting sqref="G11:H30">
    <cfRule type="expression" dxfId="70" priority="11">
      <formula>IF($E11="Nee",TRUE,FALSE)</formula>
    </cfRule>
  </conditionalFormatting>
  <conditionalFormatting sqref="J11:K30">
    <cfRule type="expression" dxfId="69" priority="10">
      <formula>IF($I11="Nee",TRUE,FALSE)</formula>
    </cfRule>
  </conditionalFormatting>
  <conditionalFormatting sqref="O11:O30">
    <cfRule type="cellIs" dxfId="68" priority="1" operator="equal">
      <formula>"0"</formula>
    </cfRule>
    <cfRule type="cellIs" dxfId="67" priority="2" operator="equal">
      <formula>"ND"</formula>
    </cfRule>
    <cfRule type="cellIs" dxfId="66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8" operator="endsWith" id="{BE7CEC02-BF34-4418-BA82-1F9327982DD9}">
            <xm:f>RIGHT(O11,LEN('Normen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9" operator="endsWith" id="{8B8AF12F-6D43-41F5-A825-07E4CD293723}">
            <xm:f>RIGHT(O11,LEN('Normen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20" operator="endsWith" id="{C08839C3-1BBE-44B3-9E34-E7A0C5F8DF48}">
            <xm:f>RIGHT(O11,LEN('Normen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21" operator="endsWith" id="{609609D6-F910-4ACA-AD7C-326B654C721E}">
            <xm:f>RIGHT(O11,LEN('Normen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22" operator="containsText" id="{B5912E85-BF07-4182-88DE-E52A178CDED9}">
            <xm:f>NOT(ISERROR(SEARCH('Normen en duidingsklassen'!$D$13,O11)))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23" operator="containsText" id="{A99BDEDF-CF44-4426-B3A0-7E5479615479}">
            <xm:f>NOT(ISERROR(SEARCH('Normen en duidingsklassen'!$D$14,O11)))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O11:O30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6F18BE3-9053-456B-B64F-325B398B1C3F}">
          <x14:formula1>
            <xm:f>Informatiepagina!$B$15:$B$17</xm:f>
          </x14:formula1>
          <xm:sqref>E31:E46 F11:F30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BDF32-8A22-4A66-B6B5-DB37648E7DC4}">
  <dimension ref="B2:U73"/>
  <sheetViews>
    <sheetView workbookViewId="0">
      <selection activeCell="K11" sqref="K11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49</v>
      </c>
      <c r="C2" s="2" t="s">
        <v>67</v>
      </c>
    </row>
    <row r="3" spans="2:21" x14ac:dyDescent="0.25">
      <c r="B3" s="36" t="s">
        <v>44</v>
      </c>
      <c r="C3" s="7">
        <v>2</v>
      </c>
    </row>
    <row r="4" spans="2:21" x14ac:dyDescent="0.25">
      <c r="B4" s="40" t="s">
        <v>109</v>
      </c>
      <c r="C4" s="12" t="s">
        <v>21</v>
      </c>
    </row>
    <row r="5" spans="2:21" x14ac:dyDescent="0.25">
      <c r="B5" s="40" t="s">
        <v>47</v>
      </c>
      <c r="C5" s="26">
        <f>IFERROR(MIN(1-PRODUCT(M11:M71),MAX(O11:O71)),"GR")</f>
        <v>0</v>
      </c>
    </row>
    <row r="6" spans="2:21" x14ac:dyDescent="0.25">
      <c r="B6" s="40" t="s">
        <v>41</v>
      </c>
      <c r="C6" s="26">
        <f>MIN(1-PRODUCT(N11:N71),MAX(P11:P71))</f>
        <v>0</v>
      </c>
    </row>
    <row r="7" spans="2:21" ht="15.75" thickBot="1" x14ac:dyDescent="0.3">
      <c r="B7" s="41" t="s">
        <v>48</v>
      </c>
      <c r="C7" s="17" t="str">
        <f>IF(1-PRODUCT(N11:N71)&gt;MAX(P11:P71),"Ja","Nee")</f>
        <v>Nee</v>
      </c>
    </row>
    <row r="9" spans="2:21" ht="15.75" thickBot="1" x14ac:dyDescent="0.3">
      <c r="M9" t="s">
        <v>65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23</v>
      </c>
      <c r="G10" s="20" t="s">
        <v>5</v>
      </c>
      <c r="H10" s="18" t="s">
        <v>22</v>
      </c>
      <c r="I10" s="20" t="s">
        <v>7</v>
      </c>
      <c r="J10" s="19" t="s">
        <v>28</v>
      </c>
      <c r="K10" s="20" t="s">
        <v>30</v>
      </c>
      <c r="L10" s="2"/>
      <c r="M10" s="36" t="s">
        <v>42</v>
      </c>
      <c r="N10" s="37" t="s">
        <v>43</v>
      </c>
      <c r="O10" s="37" t="s">
        <v>81</v>
      </c>
      <c r="P10" s="37" t="s">
        <v>82</v>
      </c>
      <c r="Q10" s="38" t="s">
        <v>62</v>
      </c>
      <c r="R10" s="38" t="s">
        <v>63</v>
      </c>
      <c r="S10" s="4"/>
      <c r="T10" s="39" t="s">
        <v>64</v>
      </c>
      <c r="U10" s="35"/>
    </row>
    <row r="11" spans="2:21" x14ac:dyDescent="0.25">
      <c r="B11" s="3" t="s">
        <v>105</v>
      </c>
      <c r="C11" s="4">
        <v>0</v>
      </c>
      <c r="D11" s="4">
        <v>24</v>
      </c>
      <c r="E11" s="22" t="s">
        <v>21</v>
      </c>
      <c r="F11" s="3" t="s">
        <v>25</v>
      </c>
      <c r="G11" s="25"/>
      <c r="H11" s="3" t="s">
        <v>21</v>
      </c>
      <c r="I11" s="25"/>
      <c r="J11" s="5">
        <f>IF($E11="Nee",0,IF(ISNUMBER(I11),I11,IF(ISNUMBER(G11),G11,"-")))</f>
        <v>0</v>
      </c>
      <c r="K11" s="30" t="str">
        <f>IF($E11="Nee","NR",IF(ISNUMBER($J11),S11,IF($T11,"D","ND")))</f>
        <v>NR</v>
      </c>
      <c r="M11" s="31">
        <f t="shared" ref="M11" si="0">IF(AND(F11="Geen faalkans",H11="Nee"),1,1-J11)</f>
        <v>1</v>
      </c>
      <c r="N11" s="10">
        <f t="shared" ref="N11" si="1">IF(J11="-",1,M11)</f>
        <v>1</v>
      </c>
      <c r="O11" s="10">
        <f t="shared" ref="O11" si="2">IF(AND(F11="Geen faalkans",H11="Nee"),0,J11*$C$3)</f>
        <v>0</v>
      </c>
      <c r="P11" s="10">
        <f>IF(J11="-",0,O11)</f>
        <v>0</v>
      </c>
      <c r="Q11" s="9">
        <f t="array" ref="Q11">MIN(IF('Normen en duidingsklassen'!$E$13:$E$20&gt;$J11,'Normen en duidingsklassen'!$E$13:$E$20))</f>
        <v>0.1</v>
      </c>
      <c r="R11" s="9">
        <f>IFERROR(MATCH($Q11,'Normen en duidingsklassen'!$E$13:$E$20),1)</f>
        <v>5</v>
      </c>
      <c r="S11" s="9" t="str">
        <f>INDEX('Normen en duidingsklassen'!$D$13:$D$20,R11)</f>
        <v>-I</v>
      </c>
      <c r="T11" s="12" t="b">
        <f>IF($E11="Ja",IF($H11="Ja",NOT(ISNUMBER($I11)),FALSE),FALSE)</f>
        <v>0</v>
      </c>
    </row>
    <row r="12" spans="2:21" x14ac:dyDescent="0.25">
      <c r="B12" s="8"/>
      <c r="C12" s="9"/>
      <c r="D12" s="9"/>
      <c r="E12" s="23"/>
      <c r="F12" s="8"/>
      <c r="G12" s="26"/>
      <c r="H12" s="8"/>
      <c r="I12" s="26"/>
      <c r="J12" s="10"/>
      <c r="K12" s="32"/>
      <c r="M12" s="31"/>
      <c r="N12" s="10"/>
      <c r="O12" s="10"/>
      <c r="P12" s="10"/>
      <c r="Q12" s="9"/>
      <c r="R12" s="9"/>
      <c r="S12" s="9"/>
      <c r="T12" s="12"/>
    </row>
    <row r="13" spans="2:21" x14ac:dyDescent="0.25">
      <c r="B13" s="8"/>
      <c r="C13" s="9"/>
      <c r="D13" s="9"/>
      <c r="E13" s="23"/>
      <c r="F13" s="8"/>
      <c r="G13" s="26"/>
      <c r="H13" s="8"/>
      <c r="I13" s="26"/>
      <c r="J13" s="10"/>
      <c r="K13" s="32"/>
      <c r="M13" s="31"/>
      <c r="N13" s="10"/>
      <c r="O13" s="10"/>
      <c r="P13" s="10"/>
      <c r="Q13" s="9"/>
      <c r="R13" s="9"/>
      <c r="S13" s="9"/>
      <c r="T13" s="12"/>
    </row>
    <row r="14" spans="2:21" x14ac:dyDescent="0.25">
      <c r="B14" s="8"/>
      <c r="C14" s="9"/>
      <c r="D14" s="9"/>
      <c r="E14" s="23"/>
      <c r="F14" s="8"/>
      <c r="G14" s="26"/>
      <c r="H14" s="8"/>
      <c r="I14" s="26"/>
      <c r="J14" s="10"/>
      <c r="K14" s="32"/>
      <c r="M14" s="31"/>
      <c r="N14" s="10"/>
      <c r="O14" s="10"/>
      <c r="P14" s="10"/>
      <c r="Q14" s="9"/>
      <c r="R14" s="9"/>
      <c r="S14" s="9"/>
      <c r="T14" s="12"/>
    </row>
    <row r="15" spans="2:21" x14ac:dyDescent="0.25">
      <c r="B15" s="8"/>
      <c r="C15" s="9"/>
      <c r="D15" s="9"/>
      <c r="E15" s="23"/>
      <c r="F15" s="8"/>
      <c r="G15" s="26"/>
      <c r="H15" s="8"/>
      <c r="I15" s="26"/>
      <c r="J15" s="10"/>
      <c r="K15" s="32"/>
      <c r="M15" s="31"/>
      <c r="N15" s="10"/>
      <c r="O15" s="10"/>
      <c r="P15" s="10"/>
      <c r="Q15" s="9"/>
      <c r="R15" s="9"/>
      <c r="S15" s="9"/>
      <c r="T15" s="12"/>
    </row>
    <row r="16" spans="2:21" x14ac:dyDescent="0.25">
      <c r="B16" s="8"/>
      <c r="C16" s="9"/>
      <c r="D16" s="9"/>
      <c r="E16" s="23"/>
      <c r="F16" s="8"/>
      <c r="G16" s="26"/>
      <c r="H16" s="8"/>
      <c r="I16" s="26"/>
      <c r="J16" s="10"/>
      <c r="K16" s="32"/>
      <c r="M16" s="31"/>
      <c r="N16" s="10"/>
      <c r="O16" s="10"/>
      <c r="P16" s="10"/>
      <c r="Q16" s="9"/>
      <c r="R16" s="9"/>
      <c r="S16" s="9"/>
      <c r="T16" s="12"/>
    </row>
    <row r="17" spans="2:20" x14ac:dyDescent="0.25">
      <c r="B17" s="8"/>
      <c r="C17" s="9"/>
      <c r="D17" s="9"/>
      <c r="E17" s="23"/>
      <c r="F17" s="8"/>
      <c r="G17" s="26"/>
      <c r="H17" s="8"/>
      <c r="I17" s="26"/>
      <c r="J17" s="10"/>
      <c r="K17" s="32"/>
      <c r="M17" s="31"/>
      <c r="N17" s="10"/>
      <c r="O17" s="10"/>
      <c r="P17" s="10"/>
      <c r="Q17" s="9"/>
      <c r="R17" s="9"/>
      <c r="S17" s="9"/>
      <c r="T17" s="12"/>
    </row>
    <row r="18" spans="2:20" x14ac:dyDescent="0.25">
      <c r="B18" s="8"/>
      <c r="C18" s="9"/>
      <c r="D18" s="9"/>
      <c r="E18" s="23"/>
      <c r="F18" s="8"/>
      <c r="G18" s="26"/>
      <c r="H18" s="8"/>
      <c r="I18" s="26"/>
      <c r="J18" s="10"/>
      <c r="K18" s="32"/>
      <c r="M18" s="31"/>
      <c r="N18" s="10"/>
      <c r="O18" s="10"/>
      <c r="P18" s="10"/>
      <c r="Q18" s="9"/>
      <c r="R18" s="9"/>
      <c r="S18" s="9"/>
      <c r="T18" s="12"/>
    </row>
    <row r="19" spans="2:20" x14ac:dyDescent="0.25">
      <c r="B19" s="8"/>
      <c r="C19" s="9"/>
      <c r="D19" s="9"/>
      <c r="E19" s="23"/>
      <c r="F19" s="8"/>
      <c r="G19" s="26"/>
      <c r="H19" s="8"/>
      <c r="I19" s="26"/>
      <c r="J19" s="10"/>
      <c r="K19" s="32"/>
      <c r="M19" s="31"/>
      <c r="N19" s="10"/>
      <c r="O19" s="10"/>
      <c r="P19" s="10"/>
      <c r="Q19" s="9"/>
      <c r="R19" s="9"/>
      <c r="S19" s="9"/>
      <c r="T19" s="12"/>
    </row>
    <row r="20" spans="2:20" x14ac:dyDescent="0.25">
      <c r="B20" s="8"/>
      <c r="C20" s="9"/>
      <c r="D20" s="9"/>
      <c r="E20" s="23"/>
      <c r="F20" s="8"/>
      <c r="G20" s="26"/>
      <c r="H20" s="8"/>
      <c r="I20" s="26"/>
      <c r="J20" s="10"/>
      <c r="K20" s="32"/>
      <c r="M20" s="31"/>
      <c r="N20" s="10"/>
      <c r="O20" s="10"/>
      <c r="P20" s="10"/>
      <c r="Q20" s="9"/>
      <c r="R20" s="9"/>
      <c r="S20" s="9"/>
      <c r="T20" s="12"/>
    </row>
    <row r="21" spans="2:20" x14ac:dyDescent="0.25">
      <c r="B21" s="8"/>
      <c r="C21" s="9"/>
      <c r="D21" s="9"/>
      <c r="E21" s="23"/>
      <c r="F21" s="8"/>
      <c r="G21" s="26"/>
      <c r="H21" s="8"/>
      <c r="I21" s="26"/>
      <c r="J21" s="10"/>
      <c r="K21" s="32"/>
      <c r="M21" s="31"/>
      <c r="N21" s="10"/>
      <c r="O21" s="10"/>
      <c r="P21" s="10"/>
      <c r="Q21" s="9"/>
      <c r="R21" s="9"/>
      <c r="S21" s="9"/>
      <c r="T21" s="12"/>
    </row>
    <row r="22" spans="2:20" x14ac:dyDescent="0.25">
      <c r="B22" s="8"/>
      <c r="C22" s="9"/>
      <c r="D22" s="9"/>
      <c r="E22" s="23"/>
      <c r="F22" s="8"/>
      <c r="G22" s="26"/>
      <c r="H22" s="8"/>
      <c r="I22" s="26"/>
      <c r="J22" s="10"/>
      <c r="K22" s="32"/>
      <c r="M22" s="31"/>
      <c r="N22" s="10"/>
      <c r="O22" s="10"/>
      <c r="P22" s="10"/>
      <c r="Q22" s="9"/>
      <c r="R22" s="9"/>
      <c r="S22" s="9"/>
      <c r="T22" s="12"/>
    </row>
    <row r="23" spans="2:20" x14ac:dyDescent="0.25">
      <c r="B23" s="8"/>
      <c r="C23" s="9"/>
      <c r="D23" s="9"/>
      <c r="E23" s="23"/>
      <c r="F23" s="8"/>
      <c r="G23" s="26"/>
      <c r="H23" s="8"/>
      <c r="I23" s="26"/>
      <c r="J23" s="10"/>
      <c r="K23" s="32"/>
      <c r="M23" s="31"/>
      <c r="N23" s="10"/>
      <c r="O23" s="10"/>
      <c r="P23" s="10"/>
      <c r="Q23" s="9"/>
      <c r="R23" s="9"/>
      <c r="S23" s="9"/>
      <c r="T23" s="12"/>
    </row>
    <row r="24" spans="2:20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/>
      <c r="N24" s="10"/>
      <c r="O24" s="10"/>
      <c r="P24" s="10"/>
      <c r="Q24" s="9"/>
      <c r="R24" s="9"/>
      <c r="S24" s="9"/>
      <c r="T24" s="12"/>
    </row>
    <row r="25" spans="2:20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/>
      <c r="N25" s="10"/>
      <c r="O25" s="10"/>
      <c r="P25" s="10"/>
      <c r="Q25" s="9"/>
      <c r="R25" s="9"/>
      <c r="S25" s="9"/>
      <c r="T25" s="12"/>
    </row>
    <row r="26" spans="2:20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/>
      <c r="N26" s="10"/>
      <c r="O26" s="10"/>
      <c r="P26" s="10"/>
      <c r="Q26" s="9"/>
      <c r="R26" s="9"/>
      <c r="S26" s="9"/>
      <c r="T26" s="12"/>
    </row>
    <row r="27" spans="2:20" x14ac:dyDescent="0.25">
      <c r="B27" s="8"/>
      <c r="C27" s="9"/>
      <c r="D27" s="9"/>
      <c r="E27" s="23"/>
      <c r="F27" s="8"/>
      <c r="G27" s="26"/>
      <c r="H27" s="8"/>
      <c r="I27" s="26"/>
      <c r="J27" s="10"/>
      <c r="K27" s="32"/>
      <c r="M27" s="31"/>
      <c r="N27" s="10"/>
      <c r="O27" s="10"/>
      <c r="P27" s="10"/>
      <c r="Q27" s="9"/>
      <c r="R27" s="9"/>
      <c r="S27" s="9"/>
      <c r="T27" s="12"/>
    </row>
    <row r="28" spans="2:20" x14ac:dyDescent="0.25">
      <c r="B28" s="8"/>
      <c r="C28" s="9"/>
      <c r="D28" s="9"/>
      <c r="E28" s="23"/>
      <c r="F28" s="8"/>
      <c r="G28" s="26"/>
      <c r="H28" s="8"/>
      <c r="I28" s="26"/>
      <c r="J28" s="10"/>
      <c r="K28" s="32"/>
      <c r="M28" s="31"/>
      <c r="N28" s="10"/>
      <c r="O28" s="10"/>
      <c r="P28" s="10"/>
      <c r="Q28" s="9"/>
      <c r="R28" s="9"/>
      <c r="S28" s="9"/>
      <c r="T28" s="12"/>
    </row>
    <row r="29" spans="2:20" x14ac:dyDescent="0.25">
      <c r="B29" s="8"/>
      <c r="C29" s="9"/>
      <c r="D29" s="9"/>
      <c r="E29" s="23"/>
      <c r="F29" s="8"/>
      <c r="G29" s="26"/>
      <c r="H29" s="8"/>
      <c r="I29" s="26"/>
      <c r="J29" s="10"/>
      <c r="K29" s="32"/>
      <c r="M29" s="31"/>
      <c r="N29" s="10"/>
      <c r="O29" s="10"/>
      <c r="P29" s="10"/>
      <c r="Q29" s="9"/>
      <c r="R29" s="9"/>
      <c r="S29" s="9"/>
      <c r="T29" s="12"/>
    </row>
    <row r="30" spans="2:20" x14ac:dyDescent="0.25">
      <c r="B30" s="8"/>
      <c r="C30" s="9"/>
      <c r="D30" s="9"/>
      <c r="E30" s="23"/>
      <c r="F30" s="8"/>
      <c r="G30" s="26"/>
      <c r="H30" s="8"/>
      <c r="I30" s="26"/>
      <c r="J30" s="10"/>
      <c r="K30" s="32"/>
      <c r="M30" s="31"/>
      <c r="N30" s="10"/>
      <c r="O30" s="10"/>
      <c r="P30" s="10"/>
      <c r="Q30" s="9"/>
      <c r="R30" s="9"/>
      <c r="S30" s="9"/>
      <c r="T30" s="12"/>
    </row>
    <row r="31" spans="2:20" x14ac:dyDescent="0.25">
      <c r="B31" s="8"/>
      <c r="C31" s="9"/>
      <c r="D31" s="9"/>
      <c r="E31" s="23"/>
      <c r="F31" s="8"/>
      <c r="G31" s="26"/>
      <c r="H31" s="8"/>
      <c r="I31" s="26"/>
      <c r="J31" s="10"/>
      <c r="K31" s="32"/>
      <c r="M31" s="31"/>
      <c r="N31" s="10"/>
      <c r="O31" s="10"/>
      <c r="P31" s="10"/>
      <c r="Q31" s="9"/>
      <c r="R31" s="9"/>
      <c r="S31" s="9"/>
      <c r="T31" s="12"/>
    </row>
    <row r="32" spans="2:20" x14ac:dyDescent="0.25">
      <c r="B32" s="8"/>
      <c r="C32" s="9"/>
      <c r="D32" s="9"/>
      <c r="E32" s="23"/>
      <c r="F32" s="8"/>
      <c r="G32" s="26"/>
      <c r="H32" s="8"/>
      <c r="I32" s="26"/>
      <c r="J32" s="10"/>
      <c r="K32" s="32"/>
      <c r="M32" s="31"/>
      <c r="N32" s="10"/>
      <c r="O32" s="10"/>
      <c r="P32" s="10"/>
      <c r="Q32" s="9"/>
      <c r="R32" s="9"/>
      <c r="S32" s="9"/>
      <c r="T32" s="12"/>
    </row>
    <row r="33" spans="2:20" x14ac:dyDescent="0.25">
      <c r="B33" s="8"/>
      <c r="C33" s="9"/>
      <c r="D33" s="9"/>
      <c r="E33" s="23"/>
      <c r="F33" s="8"/>
      <c r="G33" s="26"/>
      <c r="H33" s="8"/>
      <c r="I33" s="26"/>
      <c r="J33" s="10"/>
      <c r="K33" s="32"/>
      <c r="M33" s="31"/>
      <c r="N33" s="10"/>
      <c r="O33" s="10"/>
      <c r="P33" s="10"/>
      <c r="Q33" s="9"/>
      <c r="R33" s="9"/>
      <c r="S33" s="9"/>
      <c r="T33" s="12"/>
    </row>
    <row r="34" spans="2:20" x14ac:dyDescent="0.25">
      <c r="B34" s="8"/>
      <c r="C34" s="9"/>
      <c r="D34" s="9"/>
      <c r="E34" s="23"/>
      <c r="F34" s="8"/>
      <c r="G34" s="26"/>
      <c r="H34" s="8"/>
      <c r="I34" s="26"/>
      <c r="J34" s="10"/>
      <c r="K34" s="32"/>
      <c r="M34" s="31"/>
      <c r="N34" s="10"/>
      <c r="O34" s="10"/>
      <c r="P34" s="10"/>
      <c r="Q34" s="9"/>
      <c r="R34" s="9"/>
      <c r="S34" s="9"/>
      <c r="T34" s="12"/>
    </row>
    <row r="35" spans="2:20" x14ac:dyDescent="0.25">
      <c r="B35" s="8"/>
      <c r="C35" s="9"/>
      <c r="D35" s="9"/>
      <c r="E35" s="23"/>
      <c r="F35" s="8"/>
      <c r="G35" s="26"/>
      <c r="H35" s="8"/>
      <c r="I35" s="26"/>
      <c r="J35" s="10"/>
      <c r="K35" s="32"/>
      <c r="M35" s="31"/>
      <c r="N35" s="10"/>
      <c r="O35" s="10"/>
      <c r="P35" s="10"/>
      <c r="Q35" s="9"/>
      <c r="R35" s="9"/>
      <c r="S35" s="9"/>
      <c r="T35" s="12"/>
    </row>
    <row r="36" spans="2:20" x14ac:dyDescent="0.25">
      <c r="B36" s="8"/>
      <c r="C36" s="9"/>
      <c r="D36" s="9"/>
      <c r="E36" s="23"/>
      <c r="F36" s="8"/>
      <c r="G36" s="26"/>
      <c r="H36" s="8"/>
      <c r="I36" s="26"/>
      <c r="J36" s="10"/>
      <c r="K36" s="32"/>
      <c r="M36" s="31"/>
      <c r="N36" s="10"/>
      <c r="O36" s="10"/>
      <c r="P36" s="10"/>
      <c r="Q36" s="9"/>
      <c r="R36" s="9"/>
      <c r="S36" s="9"/>
      <c r="T36" s="12"/>
    </row>
    <row r="37" spans="2:20" x14ac:dyDescent="0.25">
      <c r="B37" s="8"/>
      <c r="C37" s="9"/>
      <c r="D37" s="9"/>
      <c r="E37" s="23"/>
      <c r="F37" s="8"/>
      <c r="G37" s="26"/>
      <c r="H37" s="8"/>
      <c r="I37" s="26"/>
      <c r="J37" s="10"/>
      <c r="K37" s="32"/>
      <c r="M37" s="31"/>
      <c r="N37" s="10"/>
      <c r="O37" s="10"/>
      <c r="P37" s="10"/>
      <c r="Q37" s="9"/>
      <c r="R37" s="9"/>
      <c r="S37" s="9"/>
      <c r="T37" s="12"/>
    </row>
    <row r="38" spans="2:20" x14ac:dyDescent="0.25">
      <c r="B38" s="8"/>
      <c r="C38" s="9"/>
      <c r="D38" s="9"/>
      <c r="E38" s="23"/>
      <c r="F38" s="8"/>
      <c r="G38" s="26"/>
      <c r="H38" s="8"/>
      <c r="I38" s="26"/>
      <c r="J38" s="10"/>
      <c r="K38" s="32"/>
      <c r="M38" s="31"/>
      <c r="N38" s="10"/>
      <c r="O38" s="10"/>
      <c r="P38" s="10"/>
      <c r="Q38" s="9"/>
      <c r="R38" s="9"/>
      <c r="S38" s="9"/>
      <c r="T38" s="12"/>
    </row>
    <row r="39" spans="2:20" x14ac:dyDescent="0.25">
      <c r="B39" s="8"/>
      <c r="C39" s="9"/>
      <c r="D39" s="9"/>
      <c r="E39" s="23"/>
      <c r="F39" s="8"/>
      <c r="G39" s="26"/>
      <c r="H39" s="8"/>
      <c r="I39" s="26"/>
      <c r="J39" s="10"/>
      <c r="K39" s="32"/>
      <c r="M39" s="31"/>
      <c r="N39" s="10"/>
      <c r="O39" s="10"/>
      <c r="P39" s="10"/>
      <c r="Q39" s="9"/>
      <c r="R39" s="9"/>
      <c r="S39" s="9"/>
      <c r="T39" s="12"/>
    </row>
    <row r="40" spans="2:20" x14ac:dyDescent="0.25">
      <c r="B40" s="8"/>
      <c r="C40" s="9"/>
      <c r="D40" s="9"/>
      <c r="E40" s="23"/>
      <c r="F40" s="8"/>
      <c r="G40" s="26"/>
      <c r="H40" s="8"/>
      <c r="I40" s="26"/>
      <c r="J40" s="10"/>
      <c r="K40" s="32"/>
      <c r="M40" s="31"/>
      <c r="N40" s="10"/>
      <c r="O40" s="10"/>
      <c r="P40" s="10"/>
      <c r="Q40" s="9"/>
      <c r="R40" s="9"/>
      <c r="S40" s="9"/>
      <c r="T40" s="12"/>
    </row>
    <row r="41" spans="2:20" x14ac:dyDescent="0.25">
      <c r="B41" s="8"/>
      <c r="C41" s="9"/>
      <c r="D41" s="9"/>
      <c r="E41" s="23"/>
      <c r="F41" s="8"/>
      <c r="G41" s="26"/>
      <c r="H41" s="8"/>
      <c r="I41" s="26"/>
      <c r="J41" s="10"/>
      <c r="K41" s="32"/>
      <c r="M41" s="31"/>
      <c r="N41" s="10"/>
      <c r="O41" s="10"/>
      <c r="P41" s="10"/>
      <c r="Q41" s="9"/>
      <c r="R41" s="9"/>
      <c r="S41" s="9"/>
      <c r="T41" s="12"/>
    </row>
    <row r="42" spans="2:20" x14ac:dyDescent="0.25">
      <c r="B42" s="8"/>
      <c r="C42" s="9"/>
      <c r="D42" s="9"/>
      <c r="E42" s="23"/>
      <c r="F42" s="8"/>
      <c r="G42" s="26"/>
      <c r="H42" s="8"/>
      <c r="I42" s="26"/>
      <c r="J42" s="10"/>
      <c r="K42" s="32"/>
      <c r="M42" s="31"/>
      <c r="N42" s="10"/>
      <c r="O42" s="10"/>
      <c r="P42" s="10"/>
      <c r="Q42" s="9"/>
      <c r="R42" s="9"/>
      <c r="S42" s="9"/>
      <c r="T42" s="12"/>
    </row>
    <row r="43" spans="2:20" x14ac:dyDescent="0.25">
      <c r="B43" s="8"/>
      <c r="C43" s="9"/>
      <c r="D43" s="9"/>
      <c r="E43" s="23"/>
      <c r="F43" s="8"/>
      <c r="G43" s="26"/>
      <c r="H43" s="8"/>
      <c r="I43" s="26"/>
      <c r="J43" s="10"/>
      <c r="K43" s="32"/>
      <c r="M43" s="31"/>
      <c r="N43" s="10"/>
      <c r="O43" s="10"/>
      <c r="P43" s="10"/>
      <c r="Q43" s="9"/>
      <c r="R43" s="9"/>
      <c r="S43" s="9"/>
      <c r="T43" s="12"/>
    </row>
    <row r="44" spans="2:20" x14ac:dyDescent="0.25">
      <c r="B44" s="8"/>
      <c r="C44" s="9"/>
      <c r="D44" s="9"/>
      <c r="E44" s="23"/>
      <c r="F44" s="8"/>
      <c r="G44" s="26"/>
      <c r="H44" s="8"/>
      <c r="I44" s="26"/>
      <c r="J44" s="10"/>
      <c r="K44" s="32"/>
      <c r="M44" s="31"/>
      <c r="N44" s="10"/>
      <c r="O44" s="10"/>
      <c r="P44" s="10"/>
      <c r="Q44" s="9"/>
      <c r="R44" s="9"/>
      <c r="S44" s="9"/>
      <c r="T44" s="12"/>
    </row>
    <row r="45" spans="2:20" x14ac:dyDescent="0.25">
      <c r="B45" s="8"/>
      <c r="C45" s="9"/>
      <c r="D45" s="9"/>
      <c r="E45" s="23"/>
      <c r="F45" s="8"/>
      <c r="G45" s="26"/>
      <c r="H45" s="8"/>
      <c r="I45" s="26"/>
      <c r="J45" s="10"/>
      <c r="K45" s="32"/>
      <c r="M45" s="31"/>
      <c r="N45" s="10"/>
      <c r="O45" s="10"/>
      <c r="P45" s="10"/>
      <c r="Q45" s="9"/>
      <c r="R45" s="9"/>
      <c r="S45" s="9"/>
      <c r="T45" s="12"/>
    </row>
    <row r="46" spans="2:20" x14ac:dyDescent="0.25">
      <c r="B46" s="8"/>
      <c r="C46" s="9"/>
      <c r="D46" s="9"/>
      <c r="E46" s="23"/>
      <c r="F46" s="8"/>
      <c r="G46" s="26"/>
      <c r="H46" s="8"/>
      <c r="I46" s="26"/>
      <c r="J46" s="10"/>
      <c r="K46" s="32"/>
      <c r="M46" s="31"/>
      <c r="N46" s="10"/>
      <c r="O46" s="10"/>
      <c r="P46" s="10"/>
      <c r="Q46" s="9"/>
      <c r="R46" s="9"/>
      <c r="S46" s="9"/>
      <c r="T46" s="12"/>
    </row>
    <row r="47" spans="2:20" x14ac:dyDescent="0.25">
      <c r="B47" s="8"/>
      <c r="C47" s="9"/>
      <c r="D47" s="9"/>
      <c r="E47" s="23"/>
      <c r="F47" s="8"/>
      <c r="G47" s="26"/>
      <c r="H47" s="8"/>
      <c r="I47" s="26"/>
      <c r="J47" s="10"/>
      <c r="K47" s="32"/>
      <c r="M47" s="31"/>
      <c r="N47" s="10"/>
      <c r="O47" s="10"/>
      <c r="P47" s="10"/>
      <c r="Q47" s="9"/>
      <c r="R47" s="9"/>
      <c r="S47" s="9"/>
      <c r="T47" s="12"/>
    </row>
    <row r="48" spans="2:20" x14ac:dyDescent="0.25">
      <c r="B48" s="8"/>
      <c r="C48" s="9"/>
      <c r="D48" s="9"/>
      <c r="E48" s="23"/>
      <c r="F48" s="8"/>
      <c r="G48" s="26"/>
      <c r="H48" s="8"/>
      <c r="I48" s="26"/>
      <c r="J48" s="10"/>
      <c r="K48" s="32"/>
      <c r="M48" s="31"/>
      <c r="N48" s="10"/>
      <c r="O48" s="10"/>
      <c r="P48" s="10"/>
      <c r="Q48" s="9"/>
      <c r="R48" s="9"/>
      <c r="S48" s="9"/>
      <c r="T48" s="12"/>
    </row>
    <row r="49" spans="2:20" x14ac:dyDescent="0.25">
      <c r="B49" s="8"/>
      <c r="C49" s="9"/>
      <c r="D49" s="9"/>
      <c r="E49" s="23"/>
      <c r="F49" s="8"/>
      <c r="G49" s="26"/>
      <c r="H49" s="8"/>
      <c r="I49" s="26"/>
      <c r="J49" s="10"/>
      <c r="K49" s="32"/>
      <c r="M49" s="31"/>
      <c r="N49" s="10"/>
      <c r="O49" s="10"/>
      <c r="P49" s="10"/>
      <c r="Q49" s="9"/>
      <c r="R49" s="9"/>
      <c r="S49" s="9"/>
      <c r="T49" s="12"/>
    </row>
    <row r="50" spans="2:20" x14ac:dyDescent="0.25">
      <c r="B50" s="8"/>
      <c r="C50" s="9"/>
      <c r="D50" s="9"/>
      <c r="E50" s="23"/>
      <c r="F50" s="8"/>
      <c r="G50" s="26"/>
      <c r="H50" s="8"/>
      <c r="I50" s="26"/>
      <c r="J50" s="10"/>
      <c r="K50" s="32"/>
      <c r="M50" s="31"/>
      <c r="N50" s="10"/>
      <c r="O50" s="10"/>
      <c r="P50" s="10"/>
      <c r="Q50" s="9"/>
      <c r="R50" s="9"/>
      <c r="S50" s="9"/>
      <c r="T50" s="12"/>
    </row>
    <row r="51" spans="2:20" x14ac:dyDescent="0.25">
      <c r="B51" s="8"/>
      <c r="C51" s="9"/>
      <c r="D51" s="9"/>
      <c r="E51" s="23"/>
      <c r="F51" s="8"/>
      <c r="G51" s="26"/>
      <c r="H51" s="8"/>
      <c r="I51" s="26"/>
      <c r="J51" s="10"/>
      <c r="K51" s="32"/>
      <c r="M51" s="31"/>
      <c r="N51" s="10"/>
      <c r="O51" s="10"/>
      <c r="P51" s="10"/>
      <c r="Q51" s="9"/>
      <c r="R51" s="9"/>
      <c r="S51" s="9"/>
      <c r="T51" s="12"/>
    </row>
    <row r="52" spans="2:20" x14ac:dyDescent="0.25">
      <c r="B52" s="8"/>
      <c r="C52" s="9"/>
      <c r="D52" s="9"/>
      <c r="E52" s="23"/>
      <c r="F52" s="8"/>
      <c r="G52" s="26"/>
      <c r="H52" s="8"/>
      <c r="I52" s="26"/>
      <c r="J52" s="10"/>
      <c r="K52" s="32"/>
      <c r="M52" s="31"/>
      <c r="N52" s="10"/>
      <c r="O52" s="10"/>
      <c r="P52" s="10"/>
      <c r="Q52" s="9"/>
      <c r="R52" s="9"/>
      <c r="S52" s="9"/>
      <c r="T52" s="12"/>
    </row>
    <row r="53" spans="2:20" x14ac:dyDescent="0.25">
      <c r="B53" s="8"/>
      <c r="C53" s="9"/>
      <c r="D53" s="9"/>
      <c r="E53" s="23"/>
      <c r="F53" s="8"/>
      <c r="G53" s="26"/>
      <c r="H53" s="8"/>
      <c r="I53" s="26"/>
      <c r="J53" s="10"/>
      <c r="K53" s="32"/>
      <c r="M53" s="31"/>
      <c r="N53" s="10"/>
      <c r="O53" s="10"/>
      <c r="P53" s="10"/>
      <c r="Q53" s="9"/>
      <c r="R53" s="9"/>
      <c r="S53" s="9"/>
      <c r="T53" s="12"/>
    </row>
    <row r="54" spans="2:20" x14ac:dyDescent="0.25">
      <c r="B54" s="8"/>
      <c r="C54" s="9"/>
      <c r="D54" s="9"/>
      <c r="E54" s="23"/>
      <c r="F54" s="8"/>
      <c r="G54" s="26"/>
      <c r="H54" s="8"/>
      <c r="I54" s="26"/>
      <c r="J54" s="10"/>
      <c r="K54" s="32"/>
      <c r="M54" s="31"/>
      <c r="N54" s="10"/>
      <c r="O54" s="10"/>
      <c r="P54" s="10"/>
      <c r="Q54" s="9"/>
      <c r="R54" s="9"/>
      <c r="S54" s="9"/>
      <c r="T54" s="12"/>
    </row>
    <row r="55" spans="2:20" x14ac:dyDescent="0.25">
      <c r="B55" s="8"/>
      <c r="C55" s="9"/>
      <c r="D55" s="9"/>
      <c r="E55" s="23"/>
      <c r="F55" s="8"/>
      <c r="G55" s="26"/>
      <c r="H55" s="8"/>
      <c r="I55" s="26"/>
      <c r="J55" s="10"/>
      <c r="K55" s="32"/>
      <c r="M55" s="31"/>
      <c r="N55" s="10"/>
      <c r="O55" s="10"/>
      <c r="P55" s="10"/>
      <c r="Q55" s="9"/>
      <c r="R55" s="9"/>
      <c r="S55" s="9"/>
      <c r="T55" s="12"/>
    </row>
    <row r="56" spans="2:20" x14ac:dyDescent="0.25">
      <c r="B56" s="8"/>
      <c r="C56" s="9"/>
      <c r="D56" s="9"/>
      <c r="E56" s="23"/>
      <c r="F56" s="8"/>
      <c r="G56" s="26"/>
      <c r="H56" s="8"/>
      <c r="I56" s="26"/>
      <c r="J56" s="10"/>
      <c r="K56" s="32"/>
      <c r="M56" s="31"/>
      <c r="N56" s="10"/>
      <c r="O56" s="10"/>
      <c r="P56" s="10"/>
      <c r="Q56" s="9"/>
      <c r="R56" s="9"/>
      <c r="S56" s="9"/>
      <c r="T56" s="12"/>
    </row>
    <row r="57" spans="2:20" x14ac:dyDescent="0.25">
      <c r="B57" s="8"/>
      <c r="C57" s="9"/>
      <c r="D57" s="9"/>
      <c r="E57" s="23"/>
      <c r="F57" s="8"/>
      <c r="G57" s="26"/>
      <c r="H57" s="8"/>
      <c r="I57" s="26"/>
      <c r="J57" s="10"/>
      <c r="K57" s="32"/>
      <c r="M57" s="31"/>
      <c r="N57" s="10"/>
      <c r="O57" s="10"/>
      <c r="P57" s="10"/>
      <c r="Q57" s="9"/>
      <c r="R57" s="9"/>
      <c r="S57" s="9"/>
      <c r="T57" s="12"/>
    </row>
    <row r="58" spans="2:20" x14ac:dyDescent="0.25">
      <c r="B58" s="8"/>
      <c r="C58" s="9"/>
      <c r="D58" s="9"/>
      <c r="E58" s="23"/>
      <c r="F58" s="8"/>
      <c r="G58" s="26"/>
      <c r="H58" s="8"/>
      <c r="I58" s="26"/>
      <c r="J58" s="10"/>
      <c r="K58" s="32"/>
      <c r="M58" s="31"/>
      <c r="N58" s="10"/>
      <c r="O58" s="10"/>
      <c r="P58" s="10"/>
      <c r="Q58" s="9"/>
      <c r="R58" s="9"/>
      <c r="S58" s="9"/>
      <c r="T58" s="12"/>
    </row>
    <row r="59" spans="2:20" x14ac:dyDescent="0.25">
      <c r="B59" s="8"/>
      <c r="C59" s="9"/>
      <c r="D59" s="9"/>
      <c r="E59" s="23"/>
      <c r="F59" s="8"/>
      <c r="G59" s="26"/>
      <c r="H59" s="8"/>
      <c r="I59" s="26"/>
      <c r="J59" s="10"/>
      <c r="K59" s="32"/>
      <c r="M59" s="31"/>
      <c r="N59" s="10"/>
      <c r="O59" s="10"/>
      <c r="P59" s="10"/>
      <c r="Q59" s="9"/>
      <c r="R59" s="9"/>
      <c r="S59" s="9"/>
      <c r="T59" s="12"/>
    </row>
    <row r="60" spans="2:20" x14ac:dyDescent="0.25">
      <c r="B60" s="8"/>
      <c r="C60" s="9"/>
      <c r="D60" s="9"/>
      <c r="E60" s="23"/>
      <c r="F60" s="8"/>
      <c r="G60" s="26"/>
      <c r="H60" s="8"/>
      <c r="I60" s="26"/>
      <c r="J60" s="10"/>
      <c r="K60" s="32"/>
      <c r="M60" s="31"/>
      <c r="N60" s="10"/>
      <c r="O60" s="10"/>
      <c r="P60" s="10"/>
      <c r="Q60" s="9"/>
      <c r="R60" s="9"/>
      <c r="S60" s="9"/>
      <c r="T60" s="12"/>
    </row>
    <row r="61" spans="2:20" x14ac:dyDescent="0.25">
      <c r="B61" s="8"/>
      <c r="C61" s="9"/>
      <c r="D61" s="9"/>
      <c r="E61" s="23"/>
      <c r="F61" s="8"/>
      <c r="G61" s="26"/>
      <c r="H61" s="8"/>
      <c r="I61" s="26"/>
      <c r="J61" s="10"/>
      <c r="K61" s="32"/>
      <c r="M61" s="31"/>
      <c r="N61" s="10"/>
      <c r="O61" s="10"/>
      <c r="P61" s="10"/>
      <c r="Q61" s="9"/>
      <c r="R61" s="9"/>
      <c r="S61" s="9"/>
      <c r="T61" s="12"/>
    </row>
    <row r="62" spans="2:20" x14ac:dyDescent="0.25">
      <c r="B62" s="8"/>
      <c r="C62" s="9"/>
      <c r="D62" s="9"/>
      <c r="E62" s="23"/>
      <c r="F62" s="8"/>
      <c r="G62" s="26"/>
      <c r="H62" s="8"/>
      <c r="I62" s="26"/>
      <c r="J62" s="10"/>
      <c r="K62" s="32"/>
      <c r="M62" s="31"/>
      <c r="N62" s="10"/>
      <c r="O62" s="10"/>
      <c r="P62" s="10"/>
      <c r="Q62" s="9"/>
      <c r="R62" s="9"/>
      <c r="S62" s="9"/>
      <c r="T62" s="12"/>
    </row>
    <row r="63" spans="2:20" x14ac:dyDescent="0.25">
      <c r="B63" s="8"/>
      <c r="C63" s="9"/>
      <c r="D63" s="9"/>
      <c r="E63" s="23"/>
      <c r="F63" s="8"/>
      <c r="G63" s="26"/>
      <c r="H63" s="8"/>
      <c r="I63" s="26"/>
      <c r="J63" s="10"/>
      <c r="K63" s="32"/>
      <c r="M63" s="31"/>
      <c r="N63" s="10"/>
      <c r="O63" s="10"/>
      <c r="P63" s="10"/>
      <c r="Q63" s="9"/>
      <c r="R63" s="9"/>
      <c r="S63" s="9"/>
      <c r="T63" s="12"/>
    </row>
    <row r="64" spans="2:20" x14ac:dyDescent="0.25">
      <c r="B64" s="8"/>
      <c r="C64" s="9"/>
      <c r="D64" s="9"/>
      <c r="E64" s="23"/>
      <c r="F64" s="8"/>
      <c r="G64" s="26"/>
      <c r="H64" s="8"/>
      <c r="I64" s="26"/>
      <c r="J64" s="10"/>
      <c r="K64" s="32"/>
      <c r="M64" s="31"/>
      <c r="N64" s="10"/>
      <c r="O64" s="10"/>
      <c r="P64" s="10"/>
      <c r="Q64" s="9"/>
      <c r="R64" s="9"/>
      <c r="S64" s="9"/>
      <c r="T64" s="12"/>
    </row>
    <row r="65" spans="2:20" x14ac:dyDescent="0.25">
      <c r="B65" s="8"/>
      <c r="C65" s="9"/>
      <c r="D65" s="9"/>
      <c r="E65" s="23"/>
      <c r="F65" s="8"/>
      <c r="G65" s="26"/>
      <c r="H65" s="8"/>
      <c r="I65" s="26"/>
      <c r="J65" s="10"/>
      <c r="K65" s="32"/>
      <c r="M65" s="31"/>
      <c r="N65" s="10"/>
      <c r="O65" s="10"/>
      <c r="P65" s="10"/>
      <c r="Q65" s="9"/>
      <c r="R65" s="9"/>
      <c r="S65" s="9"/>
      <c r="T65" s="12"/>
    </row>
    <row r="66" spans="2:20" x14ac:dyDescent="0.25">
      <c r="B66" s="8"/>
      <c r="C66" s="9"/>
      <c r="D66" s="9"/>
      <c r="E66" s="23"/>
      <c r="F66" s="8"/>
      <c r="G66" s="26"/>
      <c r="H66" s="8"/>
      <c r="I66" s="26"/>
      <c r="J66" s="10"/>
      <c r="K66" s="32"/>
      <c r="M66" s="31"/>
      <c r="N66" s="10"/>
      <c r="O66" s="10"/>
      <c r="P66" s="10"/>
      <c r="Q66" s="9"/>
      <c r="R66" s="9"/>
      <c r="S66" s="9"/>
      <c r="T66" s="12"/>
    </row>
    <row r="67" spans="2:20" x14ac:dyDescent="0.25">
      <c r="B67" s="8"/>
      <c r="C67" s="9"/>
      <c r="D67" s="9"/>
      <c r="E67" s="23"/>
      <c r="F67" s="8"/>
      <c r="G67" s="26"/>
      <c r="H67" s="8"/>
      <c r="I67" s="26"/>
      <c r="J67" s="10"/>
      <c r="K67" s="32"/>
      <c r="M67" s="31"/>
      <c r="N67" s="10"/>
      <c r="O67" s="10"/>
      <c r="P67" s="10"/>
      <c r="Q67" s="9"/>
      <c r="R67" s="9"/>
      <c r="S67" s="9"/>
      <c r="T67" s="12"/>
    </row>
    <row r="68" spans="2:20" x14ac:dyDescent="0.25">
      <c r="B68" s="8"/>
      <c r="C68" s="9"/>
      <c r="D68" s="9"/>
      <c r="E68" s="23"/>
      <c r="F68" s="8"/>
      <c r="G68" s="26"/>
      <c r="H68" s="8"/>
      <c r="I68" s="26"/>
      <c r="J68" s="10"/>
      <c r="K68" s="32"/>
      <c r="M68" s="31"/>
      <c r="N68" s="10"/>
      <c r="O68" s="10"/>
      <c r="P68" s="10"/>
      <c r="Q68" s="9"/>
      <c r="R68" s="9"/>
      <c r="S68" s="9"/>
      <c r="T68" s="12"/>
    </row>
    <row r="69" spans="2:20" x14ac:dyDescent="0.25">
      <c r="B69" s="8"/>
      <c r="C69" s="9"/>
      <c r="D69" s="9"/>
      <c r="E69" s="23"/>
      <c r="F69" s="8"/>
      <c r="G69" s="26"/>
      <c r="H69" s="8"/>
      <c r="I69" s="26"/>
      <c r="J69" s="10"/>
      <c r="K69" s="32"/>
      <c r="M69" s="31"/>
      <c r="N69" s="10"/>
      <c r="O69" s="10"/>
      <c r="P69" s="10"/>
      <c r="Q69" s="9"/>
      <c r="R69" s="9"/>
      <c r="S69" s="9"/>
      <c r="T69" s="12"/>
    </row>
    <row r="70" spans="2:20" x14ac:dyDescent="0.25">
      <c r="B70" s="8"/>
      <c r="C70" s="9"/>
      <c r="D70" s="9"/>
      <c r="E70" s="23"/>
      <c r="F70" s="8"/>
      <c r="G70" s="26"/>
      <c r="H70" s="8"/>
      <c r="I70" s="26"/>
      <c r="J70" s="10"/>
      <c r="K70" s="32"/>
      <c r="M70" s="31"/>
      <c r="N70" s="10"/>
      <c r="O70" s="10"/>
      <c r="P70" s="10"/>
      <c r="Q70" s="9"/>
      <c r="R70" s="9"/>
      <c r="S70" s="9"/>
      <c r="T70" s="12"/>
    </row>
    <row r="71" spans="2:20" ht="15.75" thickBot="1" x14ac:dyDescent="0.3">
      <c r="B71" s="13"/>
      <c r="C71" s="14"/>
      <c r="D71" s="14"/>
      <c r="E71" s="24"/>
      <c r="F71" s="13"/>
      <c r="G71" s="27"/>
      <c r="H71" s="13"/>
      <c r="I71" s="27"/>
      <c r="J71" s="15"/>
      <c r="K71" s="34"/>
      <c r="M71" s="33"/>
      <c r="N71" s="15"/>
      <c r="O71" s="15"/>
      <c r="P71" s="15"/>
      <c r="Q71" s="14"/>
      <c r="R71" s="14"/>
      <c r="S71" s="14"/>
      <c r="T71" s="17"/>
    </row>
    <row r="72" spans="2:20" x14ac:dyDescent="0.25">
      <c r="M72" s="1"/>
    </row>
    <row r="73" spans="2:20" x14ac:dyDescent="0.25">
      <c r="M73" s="1"/>
    </row>
  </sheetData>
  <conditionalFormatting sqref="G11:G71">
    <cfRule type="expression" dxfId="59" priority="11">
      <formula>IF($E11="Nee",TRUE,FALSE)</formula>
    </cfRule>
  </conditionalFormatting>
  <conditionalFormatting sqref="I11:I71">
    <cfRule type="expression" dxfId="58" priority="10">
      <formula>IF($H11="Nee",TRUE,FALSE)</formula>
    </cfRule>
  </conditionalFormatting>
  <conditionalFormatting sqref="K11:K71">
    <cfRule type="cellIs" dxfId="57" priority="1" operator="equal">
      <formula>"0"</formula>
    </cfRule>
    <cfRule type="cellIs" dxfId="56" priority="2" operator="equal">
      <formula>"ND"</formula>
    </cfRule>
    <cfRule type="cellIs" dxfId="55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0" operator="endsWith" id="{66C1998D-15BB-4F32-86A4-1C542E19908B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1" operator="endsWith" id="{6418FE22-99A5-4340-8D15-7412BDDECB23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2" operator="endsWith" id="{2E1F4C73-7BF4-44FB-95BB-E1E18C41151A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3" operator="endsWith" id="{F6D5C182-9535-4ABE-A15A-43A844BD5583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34" operator="containsText" id="{A8878CEC-0269-4E5C-8639-1D28F9774243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35" operator="containsText" id="{EBB6C8A2-6184-4577-852F-E10D11AB01B0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K11:K71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942F4B2-BBED-4C36-B535-6E749A241475}">
          <x14:formula1>
            <xm:f>Informatiepagina!$B$15:$B$17</xm:f>
          </x14:formula1>
          <xm:sqref>E72:E87 F11:F71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A3C0E-3A5C-4A61-A32F-6BC05AD0EB33}">
  <dimension ref="B2:U13"/>
  <sheetViews>
    <sheetView workbookViewId="0">
      <selection activeCell="D12" sqref="D12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1" customWidth="1"/>
    <col min="10" max="10" width="12.85546875" customWidth="1"/>
    <col min="11" max="11" width="29.28515625" customWidth="1"/>
    <col min="16" max="16" width="12" bestFit="1" customWidth="1"/>
    <col min="19" max="19" width="13.5703125" customWidth="1"/>
  </cols>
  <sheetData>
    <row r="2" spans="2:21" ht="15.75" thickBot="1" x14ac:dyDescent="0.3">
      <c r="B2" s="2" t="s">
        <v>49</v>
      </c>
      <c r="C2" s="2" t="s">
        <v>68</v>
      </c>
    </row>
    <row r="3" spans="2:21" x14ac:dyDescent="0.25">
      <c r="B3" s="36" t="s">
        <v>44</v>
      </c>
      <c r="C3" s="7">
        <v>2</v>
      </c>
    </row>
    <row r="4" spans="2:21" x14ac:dyDescent="0.25">
      <c r="B4" s="40" t="s">
        <v>109</v>
      </c>
      <c r="C4" s="12" t="s">
        <v>21</v>
      </c>
    </row>
    <row r="5" spans="2:21" x14ac:dyDescent="0.25">
      <c r="B5" s="40" t="s">
        <v>47</v>
      </c>
      <c r="C5" s="26">
        <f>IFERROR(MIN(1-PRODUCT(M11:M11),MAX(O11:O11)),"GR")</f>
        <v>0</v>
      </c>
    </row>
    <row r="6" spans="2:21" x14ac:dyDescent="0.25">
      <c r="B6" s="40" t="s">
        <v>41</v>
      </c>
      <c r="C6" s="26">
        <f>MIN(1-PRODUCT(N11:N11),MAX(P11:P11))</f>
        <v>0</v>
      </c>
    </row>
    <row r="7" spans="2:21" ht="15.75" thickBot="1" x14ac:dyDescent="0.3">
      <c r="B7" s="41" t="s">
        <v>48</v>
      </c>
      <c r="C7" s="17" t="str">
        <f>IF(1-PRODUCT(N11:N11)&gt;MAX(P11:P11),"Ja","Nee")</f>
        <v>Nee</v>
      </c>
    </row>
    <row r="9" spans="2:21" ht="15.75" thickBot="1" x14ac:dyDescent="0.3">
      <c r="M9" t="s">
        <v>65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23</v>
      </c>
      <c r="G10" s="20" t="s">
        <v>5</v>
      </c>
      <c r="H10" s="18" t="s">
        <v>22</v>
      </c>
      <c r="I10" s="20" t="s">
        <v>7</v>
      </c>
      <c r="J10" s="19" t="s">
        <v>28</v>
      </c>
      <c r="K10" s="20" t="s">
        <v>30</v>
      </c>
      <c r="L10" s="2"/>
      <c r="M10" s="36" t="s">
        <v>42</v>
      </c>
      <c r="N10" s="37" t="s">
        <v>43</v>
      </c>
      <c r="O10" s="37" t="s">
        <v>45</v>
      </c>
      <c r="P10" s="37" t="s">
        <v>46</v>
      </c>
      <c r="Q10" s="38" t="s">
        <v>62</v>
      </c>
      <c r="R10" s="38" t="s">
        <v>63</v>
      </c>
      <c r="S10" s="4"/>
      <c r="T10" s="39" t="s">
        <v>64</v>
      </c>
      <c r="U10" s="35"/>
    </row>
    <row r="11" spans="2:21" ht="15.75" thickBot="1" x14ac:dyDescent="0.3">
      <c r="B11" s="42" t="s">
        <v>8</v>
      </c>
      <c r="C11" s="43">
        <v>0</v>
      </c>
      <c r="D11" s="43">
        <v>24</v>
      </c>
      <c r="E11" s="44" t="s">
        <v>21</v>
      </c>
      <c r="F11" s="42" t="s">
        <v>25</v>
      </c>
      <c r="G11" s="45"/>
      <c r="H11" s="42" t="s">
        <v>21</v>
      </c>
      <c r="I11" s="45"/>
      <c r="J11" s="46">
        <v>0</v>
      </c>
      <c r="K11" s="47" t="str">
        <f>IF($E11="Nee","NR",IF(ISNUMBER($J11),S11,IF($T11,"D","ND")))</f>
        <v>NR</v>
      </c>
      <c r="M11" s="33">
        <f>IF(AND(F11="Geen faalkans",H11="Nee"),1,1-J11)</f>
        <v>1</v>
      </c>
      <c r="N11" s="15">
        <f>IF(J11="-",1,M11)</f>
        <v>1</v>
      </c>
      <c r="O11" s="15">
        <f>IF(AND(F11="Geen faalkans",H11="Nee"),0,J11*$C$3)</f>
        <v>0</v>
      </c>
      <c r="P11" s="15">
        <f>IF(J11="-",0,O11)</f>
        <v>0</v>
      </c>
      <c r="Q11" s="14">
        <f t="array" ref="Q11">MIN(IF('Normen en duidingsklassen'!$E$13:$E$20&gt;$J11,'Normen en duidingsklassen'!$E$13:$E$20))</f>
        <v>0.1</v>
      </c>
      <c r="R11" s="14">
        <f>IFERROR(MATCH($Q11,'Normen en duidingsklassen'!$E$13:$E$20),1)</f>
        <v>5</v>
      </c>
      <c r="S11" s="14" t="str">
        <f>INDEX('Normen en duidingsklassen'!$D$13:$D$20,R11)</f>
        <v>-I</v>
      </c>
      <c r="T11" s="17" t="b">
        <f>IF($E11="Ja",IF($H11="Ja",NOT(ISNUMBER(#REF!)),FALSE),FALSE)</f>
        <v>0</v>
      </c>
    </row>
    <row r="12" spans="2:21" x14ac:dyDescent="0.25">
      <c r="M12" s="1"/>
    </row>
    <row r="13" spans="2:21" x14ac:dyDescent="0.25">
      <c r="M13" s="1"/>
    </row>
  </sheetData>
  <conditionalFormatting sqref="G11">
    <cfRule type="expression" dxfId="48" priority="11">
      <formula>IF($E11="Nee",TRUE,FALSE)</formula>
    </cfRule>
  </conditionalFormatting>
  <conditionalFormatting sqref="I11">
    <cfRule type="expression" dxfId="47" priority="10">
      <formula>IF($H11="Nee",TRUE,FALSE)</formula>
    </cfRule>
  </conditionalFormatting>
  <conditionalFormatting sqref="K11">
    <cfRule type="cellIs" dxfId="46" priority="1" operator="equal">
      <formula>"0"</formula>
    </cfRule>
    <cfRule type="cellIs" dxfId="45" priority="2" operator="equal">
      <formula>"ND"</formula>
    </cfRule>
    <cfRule type="cellIs" dxfId="44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6" operator="endsWith" id="{F7B08000-9400-46DD-A131-35187929BFC9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7" operator="endsWith" id="{6D0591F0-1D10-4810-AA14-0BE30C52E201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8" operator="endsWith" id="{EF308A70-7C0F-485F-B494-C521E8B44256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9" operator="endsWith" id="{9B64F30E-AFD8-4003-B940-A265D08BC3ED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40" operator="containsText" id="{DAD0CB9A-8397-4826-B226-78C7572F4129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41" operator="containsText" id="{292412C6-8FED-46EB-8018-EC091EC7347F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D6B7754-EF54-47AC-BE07-18315A16689B}">
          <x14:formula1>
            <xm:f>Informatiepagina!$B$15:$B$17</xm:f>
          </x14:formula1>
          <xm:sqref>E12:E27</xm:sqref>
        </x14:dataValidation>
        <x14:dataValidation type="list" allowBlank="1" showInputMessage="1" showErrorMessage="1" xr:uid="{FB048516-AC25-40E8-BE09-761864A40761}">
          <x14:formula1>
            <xm:f>Informatiepagina!$B$20:$B$21</xm:f>
          </x14:formula1>
          <xm:sqref>F11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37BDE-5D5C-4814-877A-41AF49DBDF5F}">
  <dimension ref="B2:U30"/>
  <sheetViews>
    <sheetView workbookViewId="0">
      <selection activeCell="K11" sqref="K11:K22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49</v>
      </c>
      <c r="C2" s="2" t="s">
        <v>104</v>
      </c>
    </row>
    <row r="3" spans="2:21" x14ac:dyDescent="0.25">
      <c r="B3" s="36" t="s">
        <v>44</v>
      </c>
      <c r="C3" s="7">
        <v>3</v>
      </c>
    </row>
    <row r="4" spans="2:21" x14ac:dyDescent="0.25">
      <c r="B4" s="40" t="s">
        <v>109</v>
      </c>
      <c r="C4" s="12" t="s">
        <v>21</v>
      </c>
    </row>
    <row r="5" spans="2:21" x14ac:dyDescent="0.25">
      <c r="B5" s="40" t="s">
        <v>47</v>
      </c>
      <c r="C5" s="26">
        <f>IFERROR(MIN(1-PRODUCT(M11:M28),MAX(O11:O28)),"GR")</f>
        <v>1.9961410016728909E-3</v>
      </c>
    </row>
    <row r="6" spans="2:21" x14ac:dyDescent="0.25">
      <c r="B6" s="40" t="s">
        <v>41</v>
      </c>
      <c r="C6" s="26">
        <f>MIN(1-PRODUCT(N11:N28),MAX(P11:P28))</f>
        <v>1.9961410016728909E-3</v>
      </c>
    </row>
    <row r="7" spans="2:21" ht="15.75" thickBot="1" x14ac:dyDescent="0.3">
      <c r="B7" s="41" t="s">
        <v>48</v>
      </c>
      <c r="C7" s="17" t="str">
        <f>IF(1-PRODUCT(N11:N28)&gt;MAX(P11:P28),"Ja","Nee")</f>
        <v>Nee</v>
      </c>
    </row>
    <row r="9" spans="2:21" ht="15.75" thickBot="1" x14ac:dyDescent="0.3">
      <c r="M9" t="s">
        <v>65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23</v>
      </c>
      <c r="G10" s="20" t="s">
        <v>5</v>
      </c>
      <c r="H10" s="18" t="s">
        <v>22</v>
      </c>
      <c r="I10" s="20" t="s">
        <v>7</v>
      </c>
      <c r="J10" s="19" t="s">
        <v>28</v>
      </c>
      <c r="K10" s="20" t="s">
        <v>30</v>
      </c>
      <c r="L10" s="2"/>
      <c r="M10" s="36" t="s">
        <v>42</v>
      </c>
      <c r="N10" s="37" t="s">
        <v>43</v>
      </c>
      <c r="O10" s="37" t="s">
        <v>81</v>
      </c>
      <c r="P10" s="37" t="s">
        <v>82</v>
      </c>
      <c r="Q10" s="38" t="s">
        <v>62</v>
      </c>
      <c r="R10" s="38" t="s">
        <v>63</v>
      </c>
      <c r="S10" s="4"/>
      <c r="T10" s="39" t="s">
        <v>64</v>
      </c>
      <c r="U10" s="35"/>
    </row>
    <row r="11" spans="2:21" x14ac:dyDescent="0.25">
      <c r="B11" s="3" t="s">
        <v>8</v>
      </c>
      <c r="C11" s="4">
        <v>0</v>
      </c>
      <c r="D11" s="4">
        <v>2</v>
      </c>
      <c r="E11" s="22" t="s">
        <v>20</v>
      </c>
      <c r="F11" s="8" t="s">
        <v>25</v>
      </c>
      <c r="G11" s="25"/>
      <c r="H11" s="3" t="s">
        <v>21</v>
      </c>
      <c r="I11" s="25"/>
      <c r="J11" s="5" t="str">
        <f t="shared" ref="J11:J22" si="0">IF($E11="Nee",0,IF(H11="Ja",IF(ISNUMBER(I11),I11,"-"),IF(ISNUMBER(G11),G11,"-")))</f>
        <v>-</v>
      </c>
      <c r="K11" s="30" t="str">
        <f t="shared" ref="K11:K22" si="1">IF($E11="Nee","NR",IF(ISNUMBER($J11),S11,IF($T11,"D","ND")))</f>
        <v>ND</v>
      </c>
      <c r="M11" s="31">
        <f t="shared" ref="M11:M12" si="2">IF(AND(F11="Geen faalkans",H11="Nee"),1,1-J11)</f>
        <v>1</v>
      </c>
      <c r="N11" s="10">
        <f t="shared" ref="N11:N12" si="3">IF(J11="-",1,M11)</f>
        <v>1</v>
      </c>
      <c r="O11" s="10">
        <f t="shared" ref="O11:O12" si="4">IF(AND(F11="Geen faalkans",H11="Nee"),0,J11*$C$3)</f>
        <v>0</v>
      </c>
      <c r="P11" s="10">
        <f>IF(J11="-",0,O11)</f>
        <v>0</v>
      </c>
      <c r="Q11" s="9">
        <f t="array" ref="Q11">MIN(IF('Normen en duidingsklassen'!$E$13:$E$20&gt;=$J11,'Normen en duidingsklassen'!$E$13:$E$20))</f>
        <v>0</v>
      </c>
      <c r="R11" s="9">
        <f>IFERROR(MATCH($Q11,'Normen en duidingsklassen'!$E$13:$E$20,0),1)</f>
        <v>1</v>
      </c>
      <c r="S11" s="9" t="str">
        <f>INDEX('Normen en duidingsklassen'!$D$13:$D$20,R11)</f>
        <v>+III</v>
      </c>
      <c r="T11" s="12" t="b">
        <f>IF($E11="Ja",IF($H11="Ja",NOT(ISNUMBER($I11)),FALSE),FALSE)</f>
        <v>0</v>
      </c>
    </row>
    <row r="12" spans="2:21" x14ac:dyDescent="0.25">
      <c r="B12" s="8" t="s">
        <v>9</v>
      </c>
      <c r="C12" s="9">
        <v>2</v>
      </c>
      <c r="D12" s="9">
        <v>4</v>
      </c>
      <c r="E12" s="23" t="s">
        <v>20</v>
      </c>
      <c r="F12" s="8" t="s">
        <v>24</v>
      </c>
      <c r="G12" s="26">
        <v>0.6</v>
      </c>
      <c r="H12" s="8" t="s">
        <v>20</v>
      </c>
      <c r="I12" s="26">
        <v>0</v>
      </c>
      <c r="J12" s="10">
        <f t="shared" si="0"/>
        <v>0</v>
      </c>
      <c r="K12" s="32" t="str">
        <f t="shared" si="1"/>
        <v>+III</v>
      </c>
      <c r="M12" s="31">
        <f t="shared" si="2"/>
        <v>1</v>
      </c>
      <c r="N12" s="10">
        <f t="shared" si="3"/>
        <v>1</v>
      </c>
      <c r="O12" s="10">
        <f t="shared" si="4"/>
        <v>0</v>
      </c>
      <c r="P12" s="10">
        <f t="shared" ref="P12:P13" si="5">IF(J12="-",0,O12)</f>
        <v>0</v>
      </c>
      <c r="Q12" s="9">
        <f t="array" ref="Q12">MIN(IF('Normen en duidingsklassen'!$E$13:$E$20&gt;=$J12,'Normen en duidingsklassen'!$E$13:$E$20))</f>
        <v>0</v>
      </c>
      <c r="R12" s="9">
        <f>IFERROR(MATCH($Q12,'Normen en duidingsklassen'!$E$13:$E$20,0),1)</f>
        <v>1</v>
      </c>
      <c r="S12" s="9" t="str">
        <f>INDEX('Normen en duidingsklassen'!$D$13:$D$20,R12)</f>
        <v>+III</v>
      </c>
      <c r="T12" s="12" t="b">
        <f t="shared" ref="T12:T22" si="6">IF($E12="Ja",IF($H12="Ja",NOT(ISNUMBER($I12)),FALSE),FALSE)</f>
        <v>0</v>
      </c>
    </row>
    <row r="13" spans="2:21" x14ac:dyDescent="0.25">
      <c r="B13" s="8" t="s">
        <v>10</v>
      </c>
      <c r="C13" s="9">
        <v>4</v>
      </c>
      <c r="D13" s="9">
        <v>6</v>
      </c>
      <c r="E13" s="23" t="s">
        <v>20</v>
      </c>
      <c r="F13" s="8" t="s">
        <v>24</v>
      </c>
      <c r="G13" s="26">
        <v>8.0000000000000004E-4</v>
      </c>
      <c r="H13" s="8" t="s">
        <v>20</v>
      </c>
      <c r="I13" s="26">
        <v>5.9999999999999997E-7</v>
      </c>
      <c r="J13" s="10">
        <f t="shared" si="0"/>
        <v>5.9999999999999997E-7</v>
      </c>
      <c r="K13" s="32" t="str">
        <f t="shared" si="1"/>
        <v>-I</v>
      </c>
      <c r="M13" s="31">
        <f t="shared" ref="M13:M22" si="7">IF(AND(F13="Geen faalkans",H13="Nee"),1,1-J13)</f>
        <v>0.99999939999999998</v>
      </c>
      <c r="N13" s="10">
        <f t="shared" ref="N13:N22" si="8">IF(J13="-",1,M13)</f>
        <v>0.99999939999999998</v>
      </c>
      <c r="O13" s="10">
        <f t="shared" ref="O13:O22" si="9">IF(AND(F13="Geen faalkans",H13="Nee"),0,J13*$C$3)</f>
        <v>1.7999999999999999E-6</v>
      </c>
      <c r="P13" s="10">
        <f t="shared" si="5"/>
        <v>1.7999999999999999E-6</v>
      </c>
      <c r="Q13" s="9">
        <f t="array" ref="Q13">MIN(IF('Normen en duidingsklassen'!$E$13:$E$20&gt;=$J13,'Normen en duidingsklassen'!$E$13:$E$20))</f>
        <v>0.1</v>
      </c>
      <c r="R13" s="9">
        <f>IFERROR(MATCH($Q13,'Normen en duidingsklassen'!$E$13:$E$20,0),1)</f>
        <v>5</v>
      </c>
      <c r="S13" s="9" t="str">
        <f>INDEX('Normen en duidingsklassen'!$D$13:$D$20,R13)</f>
        <v>-I</v>
      </c>
      <c r="T13" s="12" t="b">
        <f t="shared" si="6"/>
        <v>0</v>
      </c>
    </row>
    <row r="14" spans="2:21" x14ac:dyDescent="0.25">
      <c r="B14" s="8" t="s">
        <v>11</v>
      </c>
      <c r="C14" s="9">
        <v>6</v>
      </c>
      <c r="D14" s="9">
        <v>8</v>
      </c>
      <c r="E14" s="23" t="s">
        <v>20</v>
      </c>
      <c r="F14" s="8" t="s">
        <v>24</v>
      </c>
      <c r="G14" s="26">
        <v>5.0000000000000004E-6</v>
      </c>
      <c r="H14" s="8" t="s">
        <v>21</v>
      </c>
      <c r="I14" s="26"/>
      <c r="J14" s="10">
        <f t="shared" si="0"/>
        <v>5.0000000000000004E-6</v>
      </c>
      <c r="K14" s="32" t="str">
        <f t="shared" si="1"/>
        <v>-I</v>
      </c>
      <c r="M14" s="31">
        <f t="shared" si="7"/>
        <v>0.99999499999999997</v>
      </c>
      <c r="N14" s="10">
        <f t="shared" si="8"/>
        <v>0.99999499999999997</v>
      </c>
      <c r="O14" s="10">
        <f t="shared" si="9"/>
        <v>1.5000000000000002E-5</v>
      </c>
      <c r="P14" s="10">
        <f t="shared" ref="P14:P22" si="10">IF(J14="-",0,O14)</f>
        <v>1.5000000000000002E-5</v>
      </c>
      <c r="Q14" s="9">
        <f t="array" ref="Q14">MIN(IF('Normen en duidingsklassen'!$E$13:$E$20&gt;=$J14,'Normen en duidingsklassen'!$E$13:$E$20))</f>
        <v>0.1</v>
      </c>
      <c r="R14" s="9">
        <f>IFERROR(MATCH($Q14,'Normen en duidingsklassen'!$E$13:$E$20,0),1)</f>
        <v>5</v>
      </c>
      <c r="S14" s="9" t="str">
        <f>INDEX('Normen en duidingsklassen'!$D$13:$D$20,R14)</f>
        <v>-I</v>
      </c>
      <c r="T14" s="12" t="b">
        <f t="shared" si="6"/>
        <v>0</v>
      </c>
    </row>
    <row r="15" spans="2:21" x14ac:dyDescent="0.25">
      <c r="B15" s="8" t="s">
        <v>12</v>
      </c>
      <c r="C15" s="9">
        <v>8</v>
      </c>
      <c r="D15" s="9">
        <v>10</v>
      </c>
      <c r="E15" s="23" t="s">
        <v>20</v>
      </c>
      <c r="F15" s="8" t="s">
        <v>24</v>
      </c>
      <c r="G15" s="26">
        <v>9.9000000000000005E-2</v>
      </c>
      <c r="H15" s="8" t="s">
        <v>20</v>
      </c>
      <c r="I15" s="26">
        <v>8.0000000000000005E-9</v>
      </c>
      <c r="J15" s="10">
        <f t="shared" si="0"/>
        <v>8.0000000000000005E-9</v>
      </c>
      <c r="K15" s="32" t="str">
        <f t="shared" si="1"/>
        <v>-I</v>
      </c>
      <c r="M15" s="31">
        <f t="shared" si="7"/>
        <v>0.999999992</v>
      </c>
      <c r="N15" s="10">
        <f t="shared" si="8"/>
        <v>0.999999992</v>
      </c>
      <c r="O15" s="10">
        <f t="shared" si="9"/>
        <v>2.4000000000000003E-8</v>
      </c>
      <c r="P15" s="10">
        <f t="shared" si="10"/>
        <v>2.4000000000000003E-8</v>
      </c>
      <c r="Q15" s="9">
        <f t="array" ref="Q15">MIN(IF('Normen en duidingsklassen'!$E$13:$E$20&gt;=$J15,'Normen en duidingsklassen'!$E$13:$E$20))</f>
        <v>0.1</v>
      </c>
      <c r="R15" s="9">
        <f>IFERROR(MATCH($Q15,'Normen en duidingsklassen'!$E$13:$E$20,0),1)</f>
        <v>5</v>
      </c>
      <c r="S15" s="9" t="str">
        <f>INDEX('Normen en duidingsklassen'!$D$13:$D$20,R15)</f>
        <v>-I</v>
      </c>
      <c r="T15" s="12" t="b">
        <f t="shared" si="6"/>
        <v>0</v>
      </c>
    </row>
    <row r="16" spans="2:21" x14ac:dyDescent="0.25">
      <c r="B16" s="8" t="s">
        <v>13</v>
      </c>
      <c r="C16" s="9">
        <v>10</v>
      </c>
      <c r="D16" s="9">
        <v>12</v>
      </c>
      <c r="E16" s="23" t="s">
        <v>20</v>
      </c>
      <c r="F16" s="8" t="s">
        <v>24</v>
      </c>
      <c r="G16" s="26">
        <v>0.11</v>
      </c>
      <c r="H16" s="8" t="s">
        <v>20</v>
      </c>
      <c r="I16" s="26">
        <v>0</v>
      </c>
      <c r="J16" s="10">
        <f t="shared" si="0"/>
        <v>0</v>
      </c>
      <c r="K16" s="32" t="str">
        <f t="shared" si="1"/>
        <v>+III</v>
      </c>
      <c r="M16" s="31">
        <f t="shared" si="7"/>
        <v>1</v>
      </c>
      <c r="N16" s="10">
        <f t="shared" si="8"/>
        <v>1</v>
      </c>
      <c r="O16" s="10">
        <f t="shared" si="9"/>
        <v>0</v>
      </c>
      <c r="P16" s="10">
        <f t="shared" si="10"/>
        <v>0</v>
      </c>
      <c r="Q16" s="9">
        <f t="array" ref="Q16">MIN(IF('Normen en duidingsklassen'!$E$13:$E$20&gt;=$J16,'Normen en duidingsklassen'!$E$13:$E$20))</f>
        <v>0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12" t="b">
        <f t="shared" si="6"/>
        <v>0</v>
      </c>
    </row>
    <row r="17" spans="2:20" x14ac:dyDescent="0.25">
      <c r="B17" s="8" t="s">
        <v>14</v>
      </c>
      <c r="C17" s="9">
        <v>12</v>
      </c>
      <c r="D17" s="9">
        <v>14</v>
      </c>
      <c r="E17" s="23" t="s">
        <v>20</v>
      </c>
      <c r="F17" s="8" t="s">
        <v>24</v>
      </c>
      <c r="G17" s="26">
        <v>0.1</v>
      </c>
      <c r="H17" s="8" t="s">
        <v>20</v>
      </c>
      <c r="I17" s="26">
        <v>2.546E-5</v>
      </c>
      <c r="J17" s="10">
        <f t="shared" si="0"/>
        <v>2.546E-5</v>
      </c>
      <c r="K17" s="32" t="str">
        <f t="shared" si="1"/>
        <v>-I</v>
      </c>
      <c r="M17" s="31">
        <f t="shared" si="7"/>
        <v>0.99997453999999997</v>
      </c>
      <c r="N17" s="10">
        <f t="shared" si="8"/>
        <v>0.99997453999999997</v>
      </c>
      <c r="O17" s="10">
        <f t="shared" si="9"/>
        <v>7.6379999999999997E-5</v>
      </c>
      <c r="P17" s="10">
        <f t="shared" si="10"/>
        <v>7.6379999999999997E-5</v>
      </c>
      <c r="Q17" s="9">
        <f t="array" ref="Q17">MIN(IF('Normen en duidingsklassen'!$E$13:$E$20&gt;=$J17,'Normen en duidingsklassen'!$E$13:$E$20))</f>
        <v>0.1</v>
      </c>
      <c r="R17" s="9">
        <f>IFERROR(MATCH($Q17,'Normen en duidingsklassen'!$E$13:$E$20,0),1)</f>
        <v>5</v>
      </c>
      <c r="S17" s="9" t="str">
        <f>INDEX('Normen en duidingsklassen'!$D$13:$D$20,R17)</f>
        <v>-I</v>
      </c>
      <c r="T17" s="12" t="b">
        <f t="shared" si="6"/>
        <v>0</v>
      </c>
    </row>
    <row r="18" spans="2:20" x14ac:dyDescent="0.25">
      <c r="B18" s="8" t="s">
        <v>15</v>
      </c>
      <c r="C18" s="9">
        <v>14</v>
      </c>
      <c r="D18" s="9">
        <v>16</v>
      </c>
      <c r="E18" s="23" t="s">
        <v>20</v>
      </c>
      <c r="F18" s="8" t="s">
        <v>24</v>
      </c>
      <c r="G18" s="26">
        <v>6.6600000000000003E-4</v>
      </c>
      <c r="H18" s="8" t="s">
        <v>21</v>
      </c>
      <c r="I18" s="26"/>
      <c r="J18" s="10">
        <f t="shared" si="0"/>
        <v>6.6600000000000003E-4</v>
      </c>
      <c r="K18" s="32" t="str">
        <f t="shared" si="1"/>
        <v>-I</v>
      </c>
      <c r="M18" s="31">
        <f t="shared" si="7"/>
        <v>0.99933399999999994</v>
      </c>
      <c r="N18" s="10">
        <f t="shared" si="8"/>
        <v>0.99933399999999994</v>
      </c>
      <c r="O18" s="10">
        <f t="shared" si="9"/>
        <v>1.9980000000000002E-3</v>
      </c>
      <c r="P18" s="10">
        <f t="shared" si="10"/>
        <v>1.9980000000000002E-3</v>
      </c>
      <c r="Q18" s="9">
        <f t="array" ref="Q18">MIN(IF('Normen en duidingsklassen'!$E$13:$E$20&gt;=$J18,'Normen en duidingsklassen'!$E$13:$E$20))</f>
        <v>0.1</v>
      </c>
      <c r="R18" s="9">
        <f>IFERROR(MATCH($Q18,'Normen en duidingsklassen'!$E$13:$E$20,0),1)</f>
        <v>5</v>
      </c>
      <c r="S18" s="9" t="str">
        <f>INDEX('Normen en duidingsklassen'!$D$13:$D$20,R18)</f>
        <v>-I</v>
      </c>
      <c r="T18" s="12" t="b">
        <f t="shared" si="6"/>
        <v>0</v>
      </c>
    </row>
    <row r="19" spans="2:20" x14ac:dyDescent="0.25">
      <c r="B19" s="8" t="s">
        <v>16</v>
      </c>
      <c r="C19" s="9">
        <v>16</v>
      </c>
      <c r="D19" s="9">
        <v>18</v>
      </c>
      <c r="E19" s="23" t="s">
        <v>20</v>
      </c>
      <c r="F19" s="8" t="s">
        <v>24</v>
      </c>
      <c r="G19" s="26">
        <v>6.6699999999999995E-4</v>
      </c>
      <c r="H19" s="8" t="s">
        <v>20</v>
      </c>
      <c r="I19" s="26">
        <v>1.2999999999999999E-3</v>
      </c>
      <c r="J19" s="10">
        <f t="shared" si="0"/>
        <v>1.2999999999999999E-3</v>
      </c>
      <c r="K19" s="32" t="str">
        <f t="shared" si="1"/>
        <v>-I</v>
      </c>
      <c r="M19" s="31">
        <f t="shared" si="7"/>
        <v>0.99870000000000003</v>
      </c>
      <c r="N19" s="10">
        <f t="shared" si="8"/>
        <v>0.99870000000000003</v>
      </c>
      <c r="O19" s="10">
        <f t="shared" si="9"/>
        <v>3.8999999999999998E-3</v>
      </c>
      <c r="P19" s="10">
        <f t="shared" si="10"/>
        <v>3.8999999999999998E-3</v>
      </c>
      <c r="Q19" s="9">
        <f t="array" ref="Q19">MIN(IF('Normen en duidingsklassen'!$E$13:$E$20&gt;=$J19,'Normen en duidingsklassen'!$E$13:$E$20))</f>
        <v>0.1</v>
      </c>
      <c r="R19" s="9">
        <f>IFERROR(MATCH($Q19,'Normen en duidingsklassen'!$E$13:$E$20,0),1)</f>
        <v>5</v>
      </c>
      <c r="S19" s="9" t="str">
        <f>INDEX('Normen en duidingsklassen'!$D$13:$D$20,R19)</f>
        <v>-I</v>
      </c>
      <c r="T19" s="12" t="b">
        <f t="shared" si="6"/>
        <v>0</v>
      </c>
    </row>
    <row r="20" spans="2:20" x14ac:dyDescent="0.25">
      <c r="B20" s="8" t="s">
        <v>17</v>
      </c>
      <c r="C20" s="9">
        <v>18</v>
      </c>
      <c r="D20" s="9">
        <v>20</v>
      </c>
      <c r="E20" s="23" t="s">
        <v>20</v>
      </c>
      <c r="F20" s="8" t="s">
        <v>24</v>
      </c>
      <c r="G20" s="26">
        <v>0</v>
      </c>
      <c r="H20" s="8" t="s">
        <v>21</v>
      </c>
      <c r="I20" s="26"/>
      <c r="J20" s="10">
        <f t="shared" si="0"/>
        <v>0</v>
      </c>
      <c r="K20" s="32" t="str">
        <f t="shared" si="1"/>
        <v>+III</v>
      </c>
      <c r="M20" s="31">
        <f t="shared" si="7"/>
        <v>1</v>
      </c>
      <c r="N20" s="10">
        <f t="shared" si="8"/>
        <v>1</v>
      </c>
      <c r="O20" s="10">
        <f t="shared" si="9"/>
        <v>0</v>
      </c>
      <c r="P20" s="10">
        <f t="shared" si="10"/>
        <v>0</v>
      </c>
      <c r="Q20" s="9">
        <f t="array" ref="Q20">MIN(IF('Normen en duidingsklassen'!$E$13:$E$20&gt;=$J20,'Normen en duidingsklassen'!$E$13:$E$20))</f>
        <v>0</v>
      </c>
      <c r="R20" s="9">
        <f>IFERROR(MATCH($Q20,'Normen en duidingsklassen'!$E$13:$E$20,0),1)</f>
        <v>1</v>
      </c>
      <c r="S20" s="9" t="str">
        <f>INDEX('Normen en duidingsklassen'!$D$13:$D$20,R20)</f>
        <v>+III</v>
      </c>
      <c r="T20" s="12" t="b">
        <f t="shared" si="6"/>
        <v>0</v>
      </c>
    </row>
    <row r="21" spans="2:20" x14ac:dyDescent="0.25">
      <c r="B21" s="8" t="s">
        <v>18</v>
      </c>
      <c r="C21" s="9">
        <v>20</v>
      </c>
      <c r="D21" s="9">
        <v>22</v>
      </c>
      <c r="E21" s="23" t="s">
        <v>20</v>
      </c>
      <c r="F21" s="8" t="s">
        <v>24</v>
      </c>
      <c r="G21" s="26">
        <v>1</v>
      </c>
      <c r="H21" s="8" t="s">
        <v>20</v>
      </c>
      <c r="I21" s="26">
        <v>0</v>
      </c>
      <c r="J21" s="10">
        <f t="shared" si="0"/>
        <v>0</v>
      </c>
      <c r="K21" s="32" t="str">
        <f t="shared" si="1"/>
        <v>+III</v>
      </c>
      <c r="M21" s="31">
        <f t="shared" si="7"/>
        <v>1</v>
      </c>
      <c r="N21" s="10">
        <f t="shared" si="8"/>
        <v>1</v>
      </c>
      <c r="O21" s="10">
        <f t="shared" si="9"/>
        <v>0</v>
      </c>
      <c r="P21" s="10">
        <f t="shared" si="10"/>
        <v>0</v>
      </c>
      <c r="Q21" s="9">
        <f t="array" ref="Q21">MIN(IF('Normen en duidingsklassen'!$E$13:$E$20&gt;=$J21,'Normen en duidingsklassen'!$E$13:$E$20))</f>
        <v>0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12" t="b">
        <f t="shared" si="6"/>
        <v>0</v>
      </c>
    </row>
    <row r="22" spans="2:20" x14ac:dyDescent="0.25">
      <c r="B22" s="8" t="s">
        <v>19</v>
      </c>
      <c r="C22" s="9">
        <v>22</v>
      </c>
      <c r="D22" s="9">
        <v>24</v>
      </c>
      <c r="E22" s="23" t="s">
        <v>21</v>
      </c>
      <c r="F22" s="8" t="s">
        <v>25</v>
      </c>
      <c r="G22" s="26"/>
      <c r="H22" s="8" t="s">
        <v>21</v>
      </c>
      <c r="I22" s="26"/>
      <c r="J22" s="10">
        <f t="shared" si="0"/>
        <v>0</v>
      </c>
      <c r="K22" s="32" t="str">
        <f t="shared" si="1"/>
        <v>NR</v>
      </c>
      <c r="M22" s="31">
        <f t="shared" si="7"/>
        <v>1</v>
      </c>
      <c r="N22" s="10">
        <f t="shared" si="8"/>
        <v>1</v>
      </c>
      <c r="O22" s="10">
        <f t="shared" si="9"/>
        <v>0</v>
      </c>
      <c r="P22" s="10">
        <f t="shared" si="10"/>
        <v>0</v>
      </c>
      <c r="Q22" s="9">
        <f t="array" ref="Q22">MIN(IF('Normen en duidingsklassen'!$E$13:$E$20&gt;=$J22,'Normen en duidingsklassen'!$E$13:$E$20))</f>
        <v>0</v>
      </c>
      <c r="R22" s="9">
        <f>IFERROR(MATCH($Q22,'Normen en duidingsklassen'!$E$13:$E$20,0),1)</f>
        <v>1</v>
      </c>
      <c r="S22" s="9" t="str">
        <f>INDEX('Normen en duidingsklassen'!$D$13:$D$20,R22)</f>
        <v>+III</v>
      </c>
      <c r="T22" s="12" t="b">
        <f t="shared" si="6"/>
        <v>0</v>
      </c>
    </row>
    <row r="23" spans="2:20" x14ac:dyDescent="0.25">
      <c r="B23" s="8"/>
      <c r="C23" s="9"/>
      <c r="D23" s="9"/>
      <c r="E23" s="23"/>
      <c r="F23" s="8"/>
      <c r="G23" s="26"/>
      <c r="H23" s="8"/>
      <c r="I23" s="26"/>
      <c r="J23" s="10"/>
      <c r="K23" s="32"/>
      <c r="M23" s="31"/>
      <c r="N23" s="10"/>
      <c r="O23" s="10"/>
      <c r="P23" s="10"/>
      <c r="Q23" s="9"/>
      <c r="R23" s="9"/>
      <c r="S23" s="9"/>
      <c r="T23" s="12"/>
    </row>
    <row r="24" spans="2:20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/>
      <c r="N24" s="10"/>
      <c r="O24" s="10"/>
      <c r="P24" s="10"/>
      <c r="Q24" s="9"/>
      <c r="R24" s="9"/>
      <c r="S24" s="9"/>
      <c r="T24" s="12"/>
    </row>
    <row r="25" spans="2:20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/>
      <c r="N25" s="10"/>
      <c r="O25" s="10"/>
      <c r="P25" s="10"/>
      <c r="Q25" s="9"/>
      <c r="R25" s="9"/>
      <c r="S25" s="9"/>
      <c r="T25" s="12"/>
    </row>
    <row r="26" spans="2:20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/>
      <c r="N26" s="10"/>
      <c r="O26" s="10"/>
      <c r="P26" s="10"/>
      <c r="Q26" s="9"/>
      <c r="R26" s="9"/>
      <c r="S26" s="9"/>
      <c r="T26" s="12"/>
    </row>
    <row r="27" spans="2:20" x14ac:dyDescent="0.25">
      <c r="B27" s="8"/>
      <c r="C27" s="9"/>
      <c r="D27" s="9"/>
      <c r="E27" s="23"/>
      <c r="F27" s="8"/>
      <c r="G27" s="26"/>
      <c r="H27" s="8"/>
      <c r="I27" s="26"/>
      <c r="J27" s="10"/>
      <c r="K27" s="32"/>
      <c r="M27" s="31"/>
      <c r="N27" s="10"/>
      <c r="O27" s="10"/>
      <c r="P27" s="10"/>
      <c r="Q27" s="9"/>
      <c r="R27" s="9"/>
      <c r="S27" s="9"/>
      <c r="T27" s="12"/>
    </row>
    <row r="28" spans="2:20" ht="15.75" thickBot="1" x14ac:dyDescent="0.3">
      <c r="B28" s="13"/>
      <c r="C28" s="14"/>
      <c r="D28" s="14"/>
      <c r="E28" s="24"/>
      <c r="F28" s="13"/>
      <c r="G28" s="27"/>
      <c r="H28" s="13"/>
      <c r="I28" s="27"/>
      <c r="J28" s="15"/>
      <c r="K28" s="34"/>
      <c r="M28" s="31"/>
      <c r="N28" s="10"/>
      <c r="O28" s="10"/>
      <c r="P28" s="10"/>
      <c r="Q28" s="9"/>
      <c r="R28" s="9"/>
      <c r="S28" s="9"/>
      <c r="T28" s="12"/>
    </row>
    <row r="29" spans="2:20" x14ac:dyDescent="0.25">
      <c r="M29" s="1"/>
    </row>
    <row r="30" spans="2:20" x14ac:dyDescent="0.25">
      <c r="M30" s="1"/>
    </row>
  </sheetData>
  <conditionalFormatting sqref="G11:G28">
    <cfRule type="expression" dxfId="37" priority="5">
      <formula>IF($E11="Nee",TRUE,FALSE)</formula>
    </cfRule>
  </conditionalFormatting>
  <conditionalFormatting sqref="I11:I28">
    <cfRule type="expression" dxfId="36" priority="4">
      <formula>IF($H11="Nee",TRUE,FALSE)</formula>
    </cfRule>
  </conditionalFormatting>
  <conditionalFormatting sqref="K11:K28">
    <cfRule type="cellIs" dxfId="35" priority="1" operator="equal">
      <formula>"0"</formula>
    </cfRule>
    <cfRule type="cellIs" dxfId="34" priority="2" operator="equal">
      <formula>"ND"</formula>
    </cfRule>
    <cfRule type="cellIs" dxfId="33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ABB37571-79F6-4148-B9CE-2132566F3EBC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FD55077C-3742-45D6-8C63-4F3978DD275E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4FDC3C25-E9F9-443E-A88E-2102EB566A77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B6B08F1B-E8C6-4E24-9A04-8CE60FD8BEA8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373E8781-7B94-4A13-B857-164B12521A98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102DC694-4285-4E19-ACB8-CBA4D384AD46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K11:K28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AF31593-36EA-4A22-8382-C10A426B1B54}">
          <x14:formula1>
            <xm:f>Informatiepagina!$B$15:$B$17</xm:f>
          </x14:formula1>
          <xm:sqref>E29:E44 F11:F28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475A-3782-4C92-8ED6-63AC240A6132}">
  <dimension ref="B2:U30"/>
  <sheetViews>
    <sheetView workbookViewId="0">
      <selection activeCell="S12" sqref="S12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49</v>
      </c>
      <c r="C2" s="2" t="s">
        <v>91</v>
      </c>
    </row>
    <row r="3" spans="2:21" x14ac:dyDescent="0.25">
      <c r="B3" s="36" t="s">
        <v>44</v>
      </c>
      <c r="C3" s="7">
        <v>1</v>
      </c>
    </row>
    <row r="4" spans="2:21" x14ac:dyDescent="0.25">
      <c r="B4" s="40" t="s">
        <v>109</v>
      </c>
      <c r="C4" s="12" t="s">
        <v>21</v>
      </c>
    </row>
    <row r="5" spans="2:21" x14ac:dyDescent="0.25">
      <c r="B5" s="40" t="s">
        <v>47</v>
      </c>
      <c r="C5" s="26" t="str">
        <f>IFERROR(MIN(1-PRODUCT(M11:M28),MAX(O11:O28)),"GR")</f>
        <v>GR</v>
      </c>
    </row>
    <row r="6" spans="2:21" x14ac:dyDescent="0.25">
      <c r="B6" s="40" t="s">
        <v>41</v>
      </c>
      <c r="C6" s="26">
        <f>MIN(1-PRODUCT(N11:N28),MAX(P11:P28))</f>
        <v>3.2699999999999999E-3</v>
      </c>
    </row>
    <row r="7" spans="2:21" ht="15.75" thickBot="1" x14ac:dyDescent="0.3">
      <c r="B7" s="41" t="s">
        <v>48</v>
      </c>
      <c r="C7" s="17" t="str">
        <f>IF(1-PRODUCT(N11:N28)&gt;MAX(P11:P28),"Ja","Nee")</f>
        <v>Ja</v>
      </c>
    </row>
    <row r="9" spans="2:21" ht="15.75" thickBot="1" x14ac:dyDescent="0.3">
      <c r="M9" t="s">
        <v>65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23</v>
      </c>
      <c r="G10" s="20" t="s">
        <v>5</v>
      </c>
      <c r="H10" s="18" t="s">
        <v>22</v>
      </c>
      <c r="I10" s="20" t="s">
        <v>7</v>
      </c>
      <c r="J10" s="19" t="s">
        <v>28</v>
      </c>
      <c r="K10" s="20" t="s">
        <v>30</v>
      </c>
      <c r="L10" s="2"/>
      <c r="M10" s="36" t="s">
        <v>42</v>
      </c>
      <c r="N10" s="37" t="s">
        <v>43</v>
      </c>
      <c r="O10" s="37" t="s">
        <v>81</v>
      </c>
      <c r="P10" s="37" t="s">
        <v>82</v>
      </c>
      <c r="Q10" s="38" t="s">
        <v>62</v>
      </c>
      <c r="R10" s="38" t="s">
        <v>63</v>
      </c>
      <c r="S10" s="4"/>
      <c r="T10" s="39" t="s">
        <v>64</v>
      </c>
      <c r="U10" s="35"/>
    </row>
    <row r="11" spans="2:21" x14ac:dyDescent="0.25">
      <c r="B11" s="3" t="s">
        <v>8</v>
      </c>
      <c r="C11" s="4">
        <v>0</v>
      </c>
      <c r="D11" s="4">
        <v>2</v>
      </c>
      <c r="E11" s="22" t="s">
        <v>21</v>
      </c>
      <c r="F11" s="3" t="s">
        <v>25</v>
      </c>
      <c r="G11" s="25"/>
      <c r="H11" s="3" t="s">
        <v>21</v>
      </c>
      <c r="I11" s="25"/>
      <c r="J11" s="5">
        <f t="shared" ref="J11:J18" si="0">IF($E11="Nee",0,IF(H11="Ja",IF(ISNUMBER(I11),I11,"-"),IF(ISNUMBER(G11),G11,"-")))</f>
        <v>0</v>
      </c>
      <c r="K11" s="30" t="str">
        <f t="shared" ref="K11:K22" si="1">IF($E11="Nee","NR",IF(ISNUMBER($J11),S11,IF($T11,"D","ND")))</f>
        <v>NR</v>
      </c>
      <c r="M11" s="31">
        <f t="shared" ref="M11" si="2">IF(AND(F11="Geen faalkans",H11="Nee"),1,1-J11)</f>
        <v>1</v>
      </c>
      <c r="N11" s="10">
        <f t="shared" ref="N11" si="3">IF(J11="-",1,M11)</f>
        <v>1</v>
      </c>
      <c r="O11" s="10">
        <f t="shared" ref="O11" si="4">IF(AND(F11="Geen faalkans",H11="Nee"),0,J11*$C$3)</f>
        <v>0</v>
      </c>
      <c r="P11" s="10">
        <f>IF(J11="-",0,O11)</f>
        <v>0</v>
      </c>
      <c r="Q11" s="9">
        <f t="array" ref="Q11">MIN(IF('Normen en duidingsklassen'!$E$13:$E$20&gt;=$J11,'Normen en duidingsklassen'!$E$13:$E$20))</f>
        <v>0</v>
      </c>
      <c r="R11" s="9">
        <f>IFERROR(MATCH($Q11,'Normen en duidingsklassen'!$E$13:$E$20,0),1)</f>
        <v>1</v>
      </c>
      <c r="S11" s="9" t="str">
        <f>INDEX('Normen en duidingsklassen'!$D$13:$D$20,R11)</f>
        <v>+III</v>
      </c>
      <c r="T11" s="12" t="b">
        <f>IF($E11="Ja",IF($H11="Ja",NOT(ISNUMBER($I11)),FALSE),FALSE)</f>
        <v>0</v>
      </c>
    </row>
    <row r="12" spans="2:21" x14ac:dyDescent="0.25">
      <c r="B12" s="8" t="s">
        <v>9</v>
      </c>
      <c r="C12" s="9">
        <v>2</v>
      </c>
      <c r="D12" s="9">
        <v>4</v>
      </c>
      <c r="E12" s="23" t="s">
        <v>20</v>
      </c>
      <c r="F12" s="8" t="s">
        <v>25</v>
      </c>
      <c r="G12" s="26"/>
      <c r="H12" s="8" t="s">
        <v>21</v>
      </c>
      <c r="I12" s="26"/>
      <c r="J12" s="10" t="str">
        <f t="shared" si="0"/>
        <v>-</v>
      </c>
      <c r="K12" s="32" t="str">
        <f t="shared" si="1"/>
        <v>ND</v>
      </c>
      <c r="M12" s="31">
        <f t="shared" ref="M12:M22" si="5">IF(AND(F12="Geen faalkans",H12="Nee"),1,1-J12)</f>
        <v>1</v>
      </c>
      <c r="N12" s="10">
        <f t="shared" ref="N12:N22" si="6">IF(J12="-",1,M12)</f>
        <v>1</v>
      </c>
      <c r="O12" s="10">
        <f t="shared" ref="O12:O22" si="7">IF(AND(F12="Geen faalkans",H12="Nee"),0,J12*$C$3)</f>
        <v>0</v>
      </c>
      <c r="P12" s="10">
        <f t="shared" ref="P12:P22" si="8">IF(J12="-",0,O12)</f>
        <v>0</v>
      </c>
      <c r="Q12" s="9">
        <f t="array" ref="Q12">MIN(IF('Normen en duidingsklassen'!$E$13:$E$20&gt;=$J12,'Normen en duidingsklassen'!$E$13:$E$20))</f>
        <v>0</v>
      </c>
      <c r="R12" s="9">
        <f>IFERROR(MATCH($Q12,'Normen en duidingsklassen'!$E$13:$E$20,0),1)</f>
        <v>1</v>
      </c>
      <c r="S12" s="9" t="str">
        <f>INDEX('Normen en duidingsklassen'!$D$13:$D$20,R12)</f>
        <v>+III</v>
      </c>
      <c r="T12" s="12" t="b">
        <f t="shared" ref="T12:T22" si="9">IF($E12="Ja",IF($H12="Ja",NOT(ISNUMBER($I12)),FALSE),FALSE)</f>
        <v>0</v>
      </c>
    </row>
    <row r="13" spans="2:21" x14ac:dyDescent="0.25">
      <c r="B13" s="8" t="s">
        <v>10</v>
      </c>
      <c r="C13" s="9">
        <v>4</v>
      </c>
      <c r="D13" s="9">
        <v>6</v>
      </c>
      <c r="E13" s="23" t="s">
        <v>20</v>
      </c>
      <c r="F13" s="8" t="s">
        <v>24</v>
      </c>
      <c r="G13" s="26">
        <v>2.2900000000000001E-4</v>
      </c>
      <c r="H13" s="8" t="s">
        <v>20</v>
      </c>
      <c r="I13" s="26">
        <v>0</v>
      </c>
      <c r="J13" s="10">
        <f t="shared" si="0"/>
        <v>0</v>
      </c>
      <c r="K13" s="32" t="str">
        <f t="shared" si="1"/>
        <v>+III</v>
      </c>
      <c r="M13" s="31">
        <f t="shared" si="5"/>
        <v>1</v>
      </c>
      <c r="N13" s="10">
        <f t="shared" si="6"/>
        <v>1</v>
      </c>
      <c r="O13" s="10">
        <f t="shared" si="7"/>
        <v>0</v>
      </c>
      <c r="P13" s="10">
        <f t="shared" si="8"/>
        <v>0</v>
      </c>
      <c r="Q13" s="9">
        <f t="array" ref="Q13">MIN(IF('Normen en duidingsklassen'!$E$13:$E$20&gt;=$J13,'Normen en duidingsklassen'!$E$13:$E$20))</f>
        <v>0</v>
      </c>
      <c r="R13" s="9">
        <f>IFERROR(MATCH($Q13,'Normen en duidingsklassen'!$E$13:$E$20,0),1)</f>
        <v>1</v>
      </c>
      <c r="S13" s="9" t="str">
        <f>INDEX('Normen en duidingsklassen'!$D$13:$D$20,R13)</f>
        <v>+III</v>
      </c>
      <c r="T13" s="12" t="b">
        <f t="shared" si="9"/>
        <v>0</v>
      </c>
    </row>
    <row r="14" spans="2:21" x14ac:dyDescent="0.25">
      <c r="B14" s="8" t="s">
        <v>11</v>
      </c>
      <c r="C14" s="9">
        <v>6</v>
      </c>
      <c r="D14" s="9">
        <v>8</v>
      </c>
      <c r="E14" s="23" t="s">
        <v>20</v>
      </c>
      <c r="F14" s="8" t="s">
        <v>24</v>
      </c>
      <c r="G14" s="26">
        <v>2.2800000000000001E-4</v>
      </c>
      <c r="H14" s="8" t="s">
        <v>21</v>
      </c>
      <c r="I14" s="26"/>
      <c r="J14" s="10">
        <f t="shared" si="0"/>
        <v>2.2800000000000001E-4</v>
      </c>
      <c r="K14" s="32" t="str">
        <f t="shared" si="1"/>
        <v>-I</v>
      </c>
      <c r="M14" s="31">
        <f t="shared" si="5"/>
        <v>0.99977199999999999</v>
      </c>
      <c r="N14" s="10">
        <f t="shared" si="6"/>
        <v>0.99977199999999999</v>
      </c>
      <c r="O14" s="10">
        <f t="shared" si="7"/>
        <v>2.2800000000000001E-4</v>
      </c>
      <c r="P14" s="10">
        <f t="shared" si="8"/>
        <v>2.2800000000000001E-4</v>
      </c>
      <c r="Q14" s="9">
        <f t="array" ref="Q14">MIN(IF('Normen en duidingsklassen'!$E$13:$E$20&gt;=$J14,'Normen en duidingsklassen'!$E$13:$E$20))</f>
        <v>0.1</v>
      </c>
      <c r="R14" s="9">
        <f>IFERROR(MATCH($Q14,'Normen en duidingsklassen'!$E$13:$E$20,0),1)</f>
        <v>5</v>
      </c>
      <c r="S14" s="9" t="str">
        <f>INDEX('Normen en duidingsklassen'!$D$13:$D$20,R14)</f>
        <v>-I</v>
      </c>
      <c r="T14" s="12" t="b">
        <f t="shared" si="9"/>
        <v>0</v>
      </c>
    </row>
    <row r="15" spans="2:21" x14ac:dyDescent="0.25">
      <c r="B15" s="8" t="s">
        <v>12</v>
      </c>
      <c r="C15" s="9">
        <v>8</v>
      </c>
      <c r="D15" s="9">
        <v>10</v>
      </c>
      <c r="E15" s="23" t="s">
        <v>20</v>
      </c>
      <c r="F15" s="8" t="s">
        <v>24</v>
      </c>
      <c r="G15" s="26">
        <v>0.1</v>
      </c>
      <c r="H15" s="8" t="s">
        <v>20</v>
      </c>
      <c r="I15" s="26">
        <v>3.2699999999999999E-3</v>
      </c>
      <c r="J15" s="10">
        <f t="shared" si="0"/>
        <v>3.2699999999999999E-3</v>
      </c>
      <c r="K15" s="32" t="str">
        <f t="shared" si="1"/>
        <v>-I</v>
      </c>
      <c r="M15" s="31">
        <f t="shared" si="5"/>
        <v>0.99673</v>
      </c>
      <c r="N15" s="10">
        <f t="shared" si="6"/>
        <v>0.99673</v>
      </c>
      <c r="O15" s="10">
        <f t="shared" si="7"/>
        <v>3.2699999999999999E-3</v>
      </c>
      <c r="P15" s="10">
        <f t="shared" si="8"/>
        <v>3.2699999999999999E-3</v>
      </c>
      <c r="Q15" s="9">
        <f t="array" ref="Q15">MIN(IF('Normen en duidingsklassen'!$E$13:$E$20&gt;=$J15,'Normen en duidingsklassen'!$E$13:$E$20))</f>
        <v>0.1</v>
      </c>
      <c r="R15" s="9">
        <f>IFERROR(MATCH($Q15,'Normen en duidingsklassen'!$E$13:$E$20,0),1)</f>
        <v>5</v>
      </c>
      <c r="S15" s="9" t="str">
        <f>INDEX('Normen en duidingsklassen'!$D$13:$D$20,R15)</f>
        <v>-I</v>
      </c>
      <c r="T15" s="12" t="b">
        <f t="shared" si="9"/>
        <v>0</v>
      </c>
    </row>
    <row r="16" spans="2:21" x14ac:dyDescent="0.25">
      <c r="B16" s="8" t="s">
        <v>13</v>
      </c>
      <c r="C16" s="9">
        <v>10</v>
      </c>
      <c r="D16" s="9">
        <v>12</v>
      </c>
      <c r="E16" s="23" t="s">
        <v>21</v>
      </c>
      <c r="F16" s="8" t="s">
        <v>25</v>
      </c>
      <c r="G16" s="26"/>
      <c r="H16" s="8" t="s">
        <v>21</v>
      </c>
      <c r="I16" s="26"/>
      <c r="J16" s="10">
        <f t="shared" si="0"/>
        <v>0</v>
      </c>
      <c r="K16" s="32" t="str">
        <f t="shared" si="1"/>
        <v>NR</v>
      </c>
      <c r="M16" s="31">
        <f t="shared" si="5"/>
        <v>1</v>
      </c>
      <c r="N16" s="10">
        <f t="shared" si="6"/>
        <v>1</v>
      </c>
      <c r="O16" s="10">
        <f t="shared" si="7"/>
        <v>0</v>
      </c>
      <c r="P16" s="10">
        <f t="shared" si="8"/>
        <v>0</v>
      </c>
      <c r="Q16" s="9">
        <f t="array" ref="Q16">MIN(IF('Normen en duidingsklassen'!$E$13:$E$20&gt;=$J16,'Normen en duidingsklassen'!$E$13:$E$20))</f>
        <v>0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12" t="b">
        <f t="shared" si="9"/>
        <v>0</v>
      </c>
    </row>
    <row r="17" spans="2:20" x14ac:dyDescent="0.25">
      <c r="B17" s="8" t="s">
        <v>14</v>
      </c>
      <c r="C17" s="9">
        <v>12</v>
      </c>
      <c r="D17" s="9">
        <v>14</v>
      </c>
      <c r="E17" s="23" t="s">
        <v>21</v>
      </c>
      <c r="F17" s="8" t="s">
        <v>25</v>
      </c>
      <c r="G17" s="26"/>
      <c r="H17" s="8" t="s">
        <v>21</v>
      </c>
      <c r="I17" s="26"/>
      <c r="J17" s="10">
        <f t="shared" si="0"/>
        <v>0</v>
      </c>
      <c r="K17" s="32" t="str">
        <f t="shared" si="1"/>
        <v>NR</v>
      </c>
      <c r="M17" s="31">
        <f t="shared" si="5"/>
        <v>1</v>
      </c>
      <c r="N17" s="10">
        <f t="shared" si="6"/>
        <v>1</v>
      </c>
      <c r="O17" s="10">
        <f t="shared" si="7"/>
        <v>0</v>
      </c>
      <c r="P17" s="10">
        <f t="shared" si="8"/>
        <v>0</v>
      </c>
      <c r="Q17" s="9">
        <f t="array" ref="Q17">MIN(IF('Normen en duidingsklassen'!$E$13:$E$20&gt;=$J17,'Normen en duidingsklassen'!$E$13:$E$20))</f>
        <v>0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12" t="b">
        <f t="shared" si="9"/>
        <v>0</v>
      </c>
    </row>
    <row r="18" spans="2:20" x14ac:dyDescent="0.25">
      <c r="B18" s="8" t="s">
        <v>15</v>
      </c>
      <c r="C18" s="9">
        <v>14</v>
      </c>
      <c r="D18" s="9">
        <v>16</v>
      </c>
      <c r="E18" s="23" t="s">
        <v>20</v>
      </c>
      <c r="F18" s="8" t="s">
        <v>24</v>
      </c>
      <c r="G18" s="26">
        <v>0</v>
      </c>
      <c r="H18" s="8" t="s">
        <v>21</v>
      </c>
      <c r="I18" s="26"/>
      <c r="J18" s="10">
        <f t="shared" si="0"/>
        <v>0</v>
      </c>
      <c r="K18" s="32" t="str">
        <f t="shared" si="1"/>
        <v>+III</v>
      </c>
      <c r="M18" s="31">
        <f t="shared" si="5"/>
        <v>1</v>
      </c>
      <c r="N18" s="10">
        <f t="shared" si="6"/>
        <v>1</v>
      </c>
      <c r="O18" s="10">
        <f t="shared" si="7"/>
        <v>0</v>
      </c>
      <c r="P18" s="10">
        <f t="shared" si="8"/>
        <v>0</v>
      </c>
      <c r="Q18" s="9">
        <f t="array" ref="Q18">MIN(IF('Normen en duidingsklassen'!$E$13:$E$20&gt;=$J18,'Normen en duidingsklassen'!$E$13:$E$20))</f>
        <v>0</v>
      </c>
      <c r="R18" s="9">
        <f>IFERROR(MATCH($Q18,'Normen en duidingsklassen'!$E$13:$E$20,0),1)</f>
        <v>1</v>
      </c>
      <c r="S18" s="9" t="str">
        <f>INDEX('Normen en duidingsklassen'!$D$13:$D$20,R18)</f>
        <v>+III</v>
      </c>
      <c r="T18" s="12" t="b">
        <f t="shared" si="9"/>
        <v>0</v>
      </c>
    </row>
    <row r="19" spans="2:20" x14ac:dyDescent="0.25">
      <c r="B19" s="8" t="s">
        <v>16</v>
      </c>
      <c r="C19" s="9">
        <v>16</v>
      </c>
      <c r="D19" s="9">
        <v>18</v>
      </c>
      <c r="E19" s="23" t="s">
        <v>20</v>
      </c>
      <c r="F19" s="8" t="s">
        <v>24</v>
      </c>
      <c r="G19" s="26">
        <v>1</v>
      </c>
      <c r="H19" s="8" t="s">
        <v>20</v>
      </c>
      <c r="I19" s="26"/>
      <c r="J19" s="10" t="str">
        <f>IF($E19="Nee",0,IF(H19="Ja",IF(ISNUMBER(I19),I19,"-"),IF(ISNUMBER(G19),G19,"-")))</f>
        <v>-</v>
      </c>
      <c r="K19" s="32" t="str">
        <f t="shared" si="1"/>
        <v>D</v>
      </c>
      <c r="M19" s="31" t="e">
        <f t="shared" si="5"/>
        <v>#VALUE!</v>
      </c>
      <c r="N19" s="10">
        <f t="shared" si="6"/>
        <v>1</v>
      </c>
      <c r="O19" s="10" t="e">
        <f t="shared" si="7"/>
        <v>#VALUE!</v>
      </c>
      <c r="P19" s="10">
        <f t="shared" si="8"/>
        <v>0</v>
      </c>
      <c r="Q19" s="9">
        <f t="array" ref="Q19">MIN(IF('Normen en duidingsklassen'!$E$13:$E$20&gt;=$J19,'Normen en duidingsklassen'!$E$13:$E$20))</f>
        <v>0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12" t="b">
        <f t="shared" si="9"/>
        <v>1</v>
      </c>
    </row>
    <row r="20" spans="2:20" x14ac:dyDescent="0.25">
      <c r="B20" s="8" t="s">
        <v>17</v>
      </c>
      <c r="C20" s="9">
        <v>18</v>
      </c>
      <c r="D20" s="9">
        <v>20</v>
      </c>
      <c r="E20" s="23" t="s">
        <v>20</v>
      </c>
      <c r="F20" s="8" t="s">
        <v>24</v>
      </c>
      <c r="G20" s="26">
        <v>1.9999999999999999E-6</v>
      </c>
      <c r="H20" s="8" t="s">
        <v>21</v>
      </c>
      <c r="I20" s="26"/>
      <c r="J20" s="10">
        <f t="shared" ref="J20:J22" si="10">IF($E20="Nee",0,IF(H20="Ja",IF(ISNUMBER(I20),I20,"-"),IF(ISNUMBER(G20),G20,"-")))</f>
        <v>1.9999999999999999E-6</v>
      </c>
      <c r="K20" s="32" t="str">
        <f t="shared" si="1"/>
        <v>-I</v>
      </c>
      <c r="M20" s="31">
        <f t="shared" si="5"/>
        <v>0.99999800000000005</v>
      </c>
      <c r="N20" s="10">
        <f t="shared" si="6"/>
        <v>0.99999800000000005</v>
      </c>
      <c r="O20" s="10">
        <f t="shared" si="7"/>
        <v>1.9999999999999999E-6</v>
      </c>
      <c r="P20" s="10">
        <f t="shared" si="8"/>
        <v>1.9999999999999999E-6</v>
      </c>
      <c r="Q20" s="9">
        <f t="array" ref="Q20">MIN(IF('Normen en duidingsklassen'!$E$13:$E$20&gt;=$J20,'Normen en duidingsklassen'!$E$13:$E$20))</f>
        <v>0.1</v>
      </c>
      <c r="R20" s="9">
        <f>IFERROR(MATCH($Q20,'Normen en duidingsklassen'!$E$13:$E$20,0),1)</f>
        <v>5</v>
      </c>
      <c r="S20" s="9" t="str">
        <f>INDEX('Normen en duidingsklassen'!$D$13:$D$20,R20)</f>
        <v>-I</v>
      </c>
      <c r="T20" s="12" t="b">
        <f t="shared" si="9"/>
        <v>0</v>
      </c>
    </row>
    <row r="21" spans="2:20" x14ac:dyDescent="0.25">
      <c r="B21" s="8" t="s">
        <v>18</v>
      </c>
      <c r="C21" s="9">
        <v>20</v>
      </c>
      <c r="D21" s="9">
        <v>22</v>
      </c>
      <c r="E21" s="23" t="s">
        <v>20</v>
      </c>
      <c r="F21" s="8" t="s">
        <v>24</v>
      </c>
      <c r="G21" s="26">
        <v>5.9999999999999995E-4</v>
      </c>
      <c r="H21" s="8" t="s">
        <v>20</v>
      </c>
      <c r="I21" s="26">
        <v>5.0000000000000001E-4</v>
      </c>
      <c r="J21" s="10">
        <f t="shared" si="10"/>
        <v>5.0000000000000001E-4</v>
      </c>
      <c r="K21" s="32" t="str">
        <f t="shared" si="1"/>
        <v>-I</v>
      </c>
      <c r="M21" s="31">
        <f t="shared" si="5"/>
        <v>0.99950000000000006</v>
      </c>
      <c r="N21" s="10">
        <f t="shared" si="6"/>
        <v>0.99950000000000006</v>
      </c>
      <c r="O21" s="10">
        <f t="shared" si="7"/>
        <v>5.0000000000000001E-4</v>
      </c>
      <c r="P21" s="10">
        <f t="shared" si="8"/>
        <v>5.0000000000000001E-4</v>
      </c>
      <c r="Q21" s="9">
        <f t="array" ref="Q21">MIN(IF('Normen en duidingsklassen'!$E$13:$E$20&gt;=$J21,'Normen en duidingsklassen'!$E$13:$E$20))</f>
        <v>0.1</v>
      </c>
      <c r="R21" s="9">
        <f>IFERROR(MATCH($Q21,'Normen en duidingsklassen'!$E$13:$E$20,0),1)</f>
        <v>5</v>
      </c>
      <c r="S21" s="9" t="str">
        <f>INDEX('Normen en duidingsklassen'!$D$13:$D$20,R21)</f>
        <v>-I</v>
      </c>
      <c r="T21" s="12" t="b">
        <f t="shared" si="9"/>
        <v>0</v>
      </c>
    </row>
    <row r="22" spans="2:20" x14ac:dyDescent="0.25">
      <c r="B22" s="8" t="s">
        <v>19</v>
      </c>
      <c r="C22" s="9">
        <v>22</v>
      </c>
      <c r="D22" s="9">
        <v>24</v>
      </c>
      <c r="E22" s="23" t="s">
        <v>20</v>
      </c>
      <c r="F22" s="8" t="s">
        <v>24</v>
      </c>
      <c r="G22" s="26">
        <v>2.0000000000000001E-9</v>
      </c>
      <c r="H22" s="8" t="s">
        <v>21</v>
      </c>
      <c r="I22" s="26"/>
      <c r="J22" s="10">
        <f t="shared" si="10"/>
        <v>2.0000000000000001E-9</v>
      </c>
      <c r="K22" s="32" t="str">
        <f t="shared" si="1"/>
        <v>-I</v>
      </c>
      <c r="M22" s="31">
        <f t="shared" si="5"/>
        <v>0.99999999799999995</v>
      </c>
      <c r="N22" s="10">
        <f t="shared" si="6"/>
        <v>0.99999999799999995</v>
      </c>
      <c r="O22" s="10">
        <f t="shared" si="7"/>
        <v>2.0000000000000001E-9</v>
      </c>
      <c r="P22" s="10">
        <f t="shared" si="8"/>
        <v>2.0000000000000001E-9</v>
      </c>
      <c r="Q22" s="9">
        <f t="array" ref="Q22">MIN(IF('Normen en duidingsklassen'!$E$13:$E$20&gt;=$J22,'Normen en duidingsklassen'!$E$13:$E$20))</f>
        <v>0.1</v>
      </c>
      <c r="R22" s="9">
        <f>IFERROR(MATCH($Q22,'Normen en duidingsklassen'!$E$13:$E$20,0),1)</f>
        <v>5</v>
      </c>
      <c r="S22" s="9" t="str">
        <f>INDEX('Normen en duidingsklassen'!$D$13:$D$20,R22)</f>
        <v>-I</v>
      </c>
      <c r="T22" s="12" t="b">
        <f t="shared" si="9"/>
        <v>0</v>
      </c>
    </row>
    <row r="23" spans="2:20" x14ac:dyDescent="0.25">
      <c r="B23" s="8"/>
      <c r="C23" s="9"/>
      <c r="D23" s="9"/>
      <c r="E23" s="23"/>
      <c r="F23" s="8"/>
      <c r="G23" s="26"/>
      <c r="H23" s="8"/>
      <c r="I23" s="26"/>
      <c r="J23" s="10"/>
      <c r="K23" s="32"/>
      <c r="M23" s="31"/>
      <c r="N23" s="10"/>
      <c r="O23" s="10"/>
      <c r="P23" s="10"/>
      <c r="Q23" s="9"/>
      <c r="R23" s="9"/>
      <c r="S23" s="9"/>
      <c r="T23" s="12"/>
    </row>
    <row r="24" spans="2:20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/>
      <c r="N24" s="10"/>
      <c r="O24" s="10"/>
      <c r="P24" s="10"/>
      <c r="Q24" s="9"/>
      <c r="R24" s="9"/>
      <c r="S24" s="9"/>
      <c r="T24" s="12"/>
    </row>
    <row r="25" spans="2:20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/>
      <c r="N25" s="10"/>
      <c r="O25" s="10"/>
      <c r="P25" s="10"/>
      <c r="Q25" s="9"/>
      <c r="R25" s="9"/>
      <c r="S25" s="9"/>
      <c r="T25" s="12"/>
    </row>
    <row r="26" spans="2:20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/>
      <c r="N26" s="10"/>
      <c r="O26" s="10"/>
      <c r="P26" s="10"/>
      <c r="Q26" s="9"/>
      <c r="R26" s="9"/>
      <c r="S26" s="9"/>
      <c r="T26" s="12"/>
    </row>
    <row r="27" spans="2:20" x14ac:dyDescent="0.25">
      <c r="B27" s="8"/>
      <c r="C27" s="9"/>
      <c r="D27" s="9"/>
      <c r="E27" s="23"/>
      <c r="F27" s="8"/>
      <c r="G27" s="26"/>
      <c r="H27" s="8"/>
      <c r="I27" s="26"/>
      <c r="J27" s="10"/>
      <c r="K27" s="32"/>
      <c r="M27" s="31"/>
      <c r="N27" s="10"/>
      <c r="O27" s="10"/>
      <c r="P27" s="10"/>
      <c r="Q27" s="9"/>
      <c r="R27" s="9"/>
      <c r="S27" s="9"/>
      <c r="T27" s="12"/>
    </row>
    <row r="28" spans="2:20" ht="15.75" thickBot="1" x14ac:dyDescent="0.3">
      <c r="B28" s="13"/>
      <c r="C28" s="14"/>
      <c r="D28" s="14"/>
      <c r="E28" s="24"/>
      <c r="F28" s="13"/>
      <c r="G28" s="27"/>
      <c r="H28" s="13"/>
      <c r="I28" s="27"/>
      <c r="J28" s="15"/>
      <c r="K28" s="34"/>
      <c r="M28" s="31"/>
      <c r="N28" s="10"/>
      <c r="O28" s="10"/>
      <c r="P28" s="10"/>
      <c r="Q28" s="9"/>
      <c r="R28" s="9"/>
      <c r="S28" s="9"/>
      <c r="T28" s="12"/>
    </row>
    <row r="29" spans="2:20" x14ac:dyDescent="0.25">
      <c r="M29" s="1"/>
    </row>
    <row r="30" spans="2:20" x14ac:dyDescent="0.25">
      <c r="M30" s="1"/>
    </row>
  </sheetData>
  <conditionalFormatting sqref="G11:G28">
    <cfRule type="expression" dxfId="26" priority="5">
      <formula>IF($E11="Nee",TRUE,FALSE)</formula>
    </cfRule>
  </conditionalFormatting>
  <conditionalFormatting sqref="I11:I28">
    <cfRule type="expression" dxfId="25" priority="4">
      <formula>IF($H11="Nee",TRUE,FALSE)</formula>
    </cfRule>
  </conditionalFormatting>
  <conditionalFormatting sqref="K11:K28">
    <cfRule type="cellIs" dxfId="24" priority="1" operator="equal">
      <formula>"0"</formula>
    </cfRule>
    <cfRule type="cellIs" dxfId="23" priority="2" operator="equal">
      <formula>"ND"</formula>
    </cfRule>
    <cfRule type="cellIs" dxfId="22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1EBB7798-64BC-4E62-B5ED-EDC8D12F766E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D525A4D3-4210-4434-88AA-077EC405481F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70AE3533-A03A-4765-98EF-A2F7520BB2C5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3BE27E41-6EB9-4688-923B-987C0F78C96E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9D267873-A89D-4F45-952A-AA5EA8DE68C2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21BE4470-53F7-4774-9EF3-925E463CB556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K11:K28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F31498F-0B32-4636-920C-F29656FA02A7}">
          <x14:formula1>
            <xm:f>Informatiepagina!$B$15:$B$17</xm:f>
          </x14:formula1>
          <xm:sqref>E29:E44 F11:F28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27DBF-2298-4509-84AE-DCEFED147711}">
  <dimension ref="B2:U29"/>
  <sheetViews>
    <sheetView tabSelected="1" workbookViewId="0">
      <selection activeCell="F23" sqref="F23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49</v>
      </c>
      <c r="C2" s="2" t="s">
        <v>88</v>
      </c>
    </row>
    <row r="3" spans="2:21" x14ac:dyDescent="0.25">
      <c r="B3" s="36" t="s">
        <v>44</v>
      </c>
      <c r="C3" s="7">
        <v>2</v>
      </c>
    </row>
    <row r="4" spans="2:21" x14ac:dyDescent="0.25">
      <c r="B4" s="40" t="s">
        <v>109</v>
      </c>
      <c r="C4" s="12" t="s">
        <v>21</v>
      </c>
    </row>
    <row r="5" spans="2:21" x14ac:dyDescent="0.25">
      <c r="B5" s="40" t="s">
        <v>47</v>
      </c>
      <c r="C5" s="26">
        <f>IFERROR(MIN(1-PRODUCT(M11:M27),MAX(O11:O27)),"GR")</f>
        <v>2.8437656524269217E-2</v>
      </c>
    </row>
    <row r="6" spans="2:21" x14ac:dyDescent="0.25">
      <c r="B6" s="40" t="s">
        <v>41</v>
      </c>
      <c r="C6" s="26">
        <f>MIN(1-PRODUCT(N11:N27),MAX(P11:P27))</f>
        <v>2.8437656524269217E-2</v>
      </c>
    </row>
    <row r="7" spans="2:21" ht="15.75" thickBot="1" x14ac:dyDescent="0.3">
      <c r="B7" s="41" t="s">
        <v>48</v>
      </c>
      <c r="C7" s="17" t="str">
        <f>IF(1-PRODUCT(N11:N27)&gt;MAX(P11:P27),"Ja","Nee")</f>
        <v>Nee</v>
      </c>
    </row>
    <row r="9" spans="2:21" ht="15.75" thickBot="1" x14ac:dyDescent="0.3">
      <c r="M9" t="s">
        <v>65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23</v>
      </c>
      <c r="G10" s="20" t="s">
        <v>5</v>
      </c>
      <c r="H10" s="18" t="s">
        <v>22</v>
      </c>
      <c r="I10" s="20" t="s">
        <v>7</v>
      </c>
      <c r="J10" s="19" t="s">
        <v>28</v>
      </c>
      <c r="K10" s="20" t="s">
        <v>30</v>
      </c>
      <c r="L10" s="2"/>
      <c r="M10" s="36" t="s">
        <v>42</v>
      </c>
      <c r="N10" s="37" t="s">
        <v>43</v>
      </c>
      <c r="O10" s="37" t="s">
        <v>81</v>
      </c>
      <c r="P10" s="37" t="s">
        <v>82</v>
      </c>
      <c r="Q10" s="38" t="s">
        <v>62</v>
      </c>
      <c r="R10" s="38" t="s">
        <v>63</v>
      </c>
      <c r="S10" s="4"/>
      <c r="T10" s="39" t="s">
        <v>64</v>
      </c>
      <c r="U10" s="35"/>
    </row>
    <row r="11" spans="2:21" x14ac:dyDescent="0.25">
      <c r="B11" s="3" t="s">
        <v>8</v>
      </c>
      <c r="C11" s="4">
        <v>0</v>
      </c>
      <c r="D11" s="4">
        <v>2</v>
      </c>
      <c r="E11" s="22" t="s">
        <v>20</v>
      </c>
      <c r="F11" s="3" t="s">
        <v>25</v>
      </c>
      <c r="G11" s="25"/>
      <c r="H11" s="3" t="s">
        <v>21</v>
      </c>
      <c r="I11" s="25"/>
      <c r="J11" s="5" t="str">
        <f t="shared" ref="J11:J22" si="0">IF($E11="Nee",0,IF(H11="Ja",IF(ISNUMBER(I11),I11,"-"),IF(ISNUMBER(G11),G11,"-")))</f>
        <v>-</v>
      </c>
      <c r="K11" s="30" t="str">
        <f t="shared" ref="K11:K22" si="1">IF($E11="Nee","NR",IF(ISNUMBER($J11),S11,IF($T11,"D","ND")))</f>
        <v>ND</v>
      </c>
      <c r="M11" s="31">
        <f t="shared" ref="M11:M12" si="2">IF(AND(F11="Geen faalkans",H11="Nee"),1,1-J11)</f>
        <v>1</v>
      </c>
      <c r="N11" s="10">
        <f t="shared" ref="N11:N12" si="3">IF(J11="-",1,M11)</f>
        <v>1</v>
      </c>
      <c r="O11" s="10">
        <f>IF(AND(F11="Geen faalkans",H11="Nee"),0,J11*$C$3)</f>
        <v>0</v>
      </c>
      <c r="P11" s="10">
        <f>IF(J11="-",0,O11)</f>
        <v>0</v>
      </c>
      <c r="Q11" s="9">
        <f t="array" ref="Q11">MIN(IF('Normen en duidingsklassen'!$E$13:$E$20&gt;=$J11,'Normen en duidingsklassen'!$E$13:$E$20))</f>
        <v>0</v>
      </c>
      <c r="R11" s="9">
        <f>IFERROR(MATCH($Q11,'Normen en duidingsklassen'!$E$13:$E$20,0),1)</f>
        <v>1</v>
      </c>
      <c r="S11" s="9" t="str">
        <f>INDEX('Normen en duidingsklassen'!$D$13:$D$20,R11)</f>
        <v>+III</v>
      </c>
      <c r="T11" s="12" t="b">
        <f>IF($E11="Ja",IF($H11="Ja",NOT(ISNUMBER($I11)),FALSE),FALSE)</f>
        <v>0</v>
      </c>
    </row>
    <row r="12" spans="2:21" ht="15.75" customHeight="1" x14ac:dyDescent="0.25">
      <c r="B12" s="8" t="s">
        <v>9</v>
      </c>
      <c r="C12" s="9">
        <v>2</v>
      </c>
      <c r="D12" s="9">
        <v>4</v>
      </c>
      <c r="E12" s="23" t="s">
        <v>20</v>
      </c>
      <c r="F12" s="8" t="s">
        <v>26</v>
      </c>
      <c r="G12" s="26">
        <v>0</v>
      </c>
      <c r="H12" s="8" t="s">
        <v>21</v>
      </c>
      <c r="I12" s="26"/>
      <c r="J12" s="10">
        <f t="shared" si="0"/>
        <v>0</v>
      </c>
      <c r="K12" s="32" t="str">
        <f t="shared" si="1"/>
        <v>+III</v>
      </c>
      <c r="M12" s="31">
        <f t="shared" si="2"/>
        <v>1</v>
      </c>
      <c r="N12" s="10">
        <f t="shared" si="3"/>
        <v>1</v>
      </c>
      <c r="O12" s="10">
        <f t="shared" ref="O12:O13" si="4">IF(AND(F12="Geen faalkans",H12="Nee"),0,J12*$C$3)</f>
        <v>0</v>
      </c>
      <c r="P12" s="10">
        <f t="shared" ref="P12:P13" si="5">IF(J12="-",0,O12)</f>
        <v>0</v>
      </c>
      <c r="Q12" s="9">
        <f t="array" ref="Q12">MIN(IF('Normen en duidingsklassen'!$E$13:$E$20&gt;=$J12,'Normen en duidingsklassen'!$E$13:$E$20))</f>
        <v>0</v>
      </c>
      <c r="R12" s="9">
        <f>IFERROR(MATCH($Q12,'Normen en duidingsklassen'!$E$13:$E$20,0),1)</f>
        <v>1</v>
      </c>
      <c r="S12" s="9" t="str">
        <f>INDEX('Normen en duidingsklassen'!$D$13:$D$20,R12)</f>
        <v>+III</v>
      </c>
      <c r="T12" s="12" t="b">
        <f t="shared" ref="T12:T22" si="6">IF($E12="Ja",IF($H12="Ja",NOT(ISNUMBER($I12)),FALSE),FALSE)</f>
        <v>0</v>
      </c>
    </row>
    <row r="13" spans="2:21" ht="15.75" customHeight="1" x14ac:dyDescent="0.25">
      <c r="B13" s="8" t="s">
        <v>10</v>
      </c>
      <c r="C13" s="9">
        <v>4</v>
      </c>
      <c r="D13" s="9">
        <v>6</v>
      </c>
      <c r="E13" s="23" t="s">
        <v>20</v>
      </c>
      <c r="F13" s="8" t="s">
        <v>26</v>
      </c>
      <c r="G13" s="26">
        <v>2.4E-2</v>
      </c>
      <c r="H13" s="8" t="s">
        <v>21</v>
      </c>
      <c r="I13" s="26"/>
      <c r="J13" s="10">
        <f t="shared" si="0"/>
        <v>2.4E-2</v>
      </c>
      <c r="K13" s="32" t="str">
        <f t="shared" si="1"/>
        <v>-I</v>
      </c>
      <c r="M13" s="31">
        <f t="shared" ref="M13:M22" si="7">IF(AND(F13="Geen faalkans",H13="Nee"),1,1-J13)</f>
        <v>0.97599999999999998</v>
      </c>
      <c r="N13" s="10">
        <f t="shared" ref="N13:N22" si="8">IF(J13="-",1,M13)</f>
        <v>0.97599999999999998</v>
      </c>
      <c r="O13" s="10">
        <f t="shared" si="4"/>
        <v>4.8000000000000001E-2</v>
      </c>
      <c r="P13" s="10">
        <f t="shared" si="5"/>
        <v>4.8000000000000001E-2</v>
      </c>
      <c r="Q13" s="9">
        <f t="array" ref="Q13">MIN(IF('Normen en duidingsklassen'!$E$13:$E$20&gt;=$J13,'Normen en duidingsklassen'!$E$13:$E$20))</f>
        <v>0.1</v>
      </c>
      <c r="R13" s="9">
        <f>IFERROR(MATCH($Q13,'Normen en duidingsklassen'!$E$13:$E$20,0),1)</f>
        <v>5</v>
      </c>
      <c r="S13" s="9" t="str">
        <f>INDEX('Normen en duidingsklassen'!$D$13:$D$20,R13)</f>
        <v>-I</v>
      </c>
      <c r="T13" s="12" t="b">
        <f t="shared" si="6"/>
        <v>0</v>
      </c>
    </row>
    <row r="14" spans="2:21" ht="15.75" customHeight="1" x14ac:dyDescent="0.25">
      <c r="B14" s="8" t="s">
        <v>11</v>
      </c>
      <c r="C14" s="9">
        <v>6</v>
      </c>
      <c r="D14" s="9">
        <v>8</v>
      </c>
      <c r="E14" s="23" t="s">
        <v>21</v>
      </c>
      <c r="F14" s="8" t="s">
        <v>25</v>
      </c>
      <c r="G14" s="26"/>
      <c r="H14" s="8" t="s">
        <v>21</v>
      </c>
      <c r="I14" s="26"/>
      <c r="J14" s="10">
        <f t="shared" si="0"/>
        <v>0</v>
      </c>
      <c r="K14" s="32" t="str">
        <f t="shared" si="1"/>
        <v>NR</v>
      </c>
      <c r="M14" s="31">
        <f t="shared" si="7"/>
        <v>1</v>
      </c>
      <c r="N14" s="10">
        <f t="shared" si="8"/>
        <v>1</v>
      </c>
      <c r="O14" s="10">
        <f t="shared" ref="O14:O22" si="9">IF(AND(F14="Geen faalkans",H14="Nee"),0,J14*$C$3)</f>
        <v>0</v>
      </c>
      <c r="P14" s="10">
        <f t="shared" ref="P14:P22" si="10">IF(J14="-",0,O14)</f>
        <v>0</v>
      </c>
      <c r="Q14" s="9">
        <f t="array" ref="Q14">MIN(IF('Normen en duidingsklassen'!$E$13:$E$20&gt;=$J14,'Normen en duidingsklassen'!$E$13:$E$20))</f>
        <v>0</v>
      </c>
      <c r="R14" s="9">
        <f>IFERROR(MATCH($Q14,'Normen en duidingsklassen'!$E$13:$E$20,0),1)</f>
        <v>1</v>
      </c>
      <c r="S14" s="9" t="str">
        <f>INDEX('Normen en duidingsklassen'!$D$13:$D$20,R14)</f>
        <v>+III</v>
      </c>
      <c r="T14" s="12" t="b">
        <f t="shared" si="6"/>
        <v>0</v>
      </c>
    </row>
    <row r="15" spans="2:21" ht="15.75" customHeight="1" x14ac:dyDescent="0.25">
      <c r="B15" s="8" t="s">
        <v>12</v>
      </c>
      <c r="C15" s="9">
        <v>8</v>
      </c>
      <c r="D15" s="9">
        <v>10</v>
      </c>
      <c r="E15" s="23" t="s">
        <v>21</v>
      </c>
      <c r="F15" s="8" t="s">
        <v>25</v>
      </c>
      <c r="G15" s="26"/>
      <c r="H15" s="8" t="s">
        <v>21</v>
      </c>
      <c r="I15" s="26"/>
      <c r="J15" s="10">
        <f t="shared" si="0"/>
        <v>0</v>
      </c>
      <c r="K15" s="32" t="str">
        <f t="shared" si="1"/>
        <v>NR</v>
      </c>
      <c r="M15" s="31">
        <f t="shared" si="7"/>
        <v>1</v>
      </c>
      <c r="N15" s="10">
        <f t="shared" si="8"/>
        <v>1</v>
      </c>
      <c r="O15" s="10">
        <f t="shared" si="9"/>
        <v>0</v>
      </c>
      <c r="P15" s="10">
        <f t="shared" si="10"/>
        <v>0</v>
      </c>
      <c r="Q15" s="9">
        <f t="array" ref="Q15">MIN(IF('Normen en duidingsklassen'!$E$13:$E$20&gt;=$J15,'Normen en duidingsklassen'!$E$13:$E$20))</f>
        <v>0</v>
      </c>
      <c r="R15" s="9">
        <f>IFERROR(MATCH($Q15,'Normen en duidingsklassen'!$E$13:$E$20,0),1)</f>
        <v>1</v>
      </c>
      <c r="S15" s="9" t="str">
        <f>INDEX('Normen en duidingsklassen'!$D$13:$D$20,R15)</f>
        <v>+III</v>
      </c>
      <c r="T15" s="12" t="b">
        <f t="shared" si="6"/>
        <v>0</v>
      </c>
    </row>
    <row r="16" spans="2:21" ht="15.75" customHeight="1" x14ac:dyDescent="0.25">
      <c r="B16" s="8" t="s">
        <v>13</v>
      </c>
      <c r="C16" s="9">
        <v>10</v>
      </c>
      <c r="D16" s="9">
        <v>12</v>
      </c>
      <c r="E16" s="23" t="s">
        <v>20</v>
      </c>
      <c r="F16" s="8" t="s">
        <v>26</v>
      </c>
      <c r="G16" s="69">
        <v>0.1</v>
      </c>
      <c r="H16" s="8" t="s">
        <v>20</v>
      </c>
      <c r="I16" s="26">
        <v>5.9999999999999995E-25</v>
      </c>
      <c r="J16" s="10">
        <f t="shared" si="0"/>
        <v>5.9999999999999995E-25</v>
      </c>
      <c r="K16" s="32" t="str">
        <f t="shared" si="1"/>
        <v>-I</v>
      </c>
      <c r="M16" s="31">
        <f t="shared" si="7"/>
        <v>1</v>
      </c>
      <c r="N16" s="10">
        <f t="shared" si="8"/>
        <v>1</v>
      </c>
      <c r="O16" s="10">
        <f t="shared" si="9"/>
        <v>1.1999999999999999E-24</v>
      </c>
      <c r="P16" s="10">
        <f t="shared" si="10"/>
        <v>1.1999999999999999E-24</v>
      </c>
      <c r="Q16" s="9">
        <f t="array" ref="Q16">MIN(IF('Normen en duidingsklassen'!$E$13:$E$20&gt;=$J16,'Normen en duidingsklassen'!$E$13:$E$20))</f>
        <v>0.1</v>
      </c>
      <c r="R16" s="9">
        <f>IFERROR(MATCH($Q16,'Normen en duidingsklassen'!$E$13:$E$20,0),1)</f>
        <v>5</v>
      </c>
      <c r="S16" s="9" t="str">
        <f>INDEX('Normen en duidingsklassen'!$D$13:$D$20,R16)</f>
        <v>-I</v>
      </c>
      <c r="T16" s="12" t="b">
        <f t="shared" si="6"/>
        <v>0</v>
      </c>
    </row>
    <row r="17" spans="2:20" ht="15.75" customHeight="1" x14ac:dyDescent="0.25">
      <c r="B17" s="8" t="s">
        <v>14</v>
      </c>
      <c r="C17" s="9">
        <v>12</v>
      </c>
      <c r="D17" s="9">
        <v>14</v>
      </c>
      <c r="E17" s="23" t="s">
        <v>20</v>
      </c>
      <c r="F17" s="8" t="s">
        <v>26</v>
      </c>
      <c r="G17" s="26">
        <v>9.9000000000000005E-2</v>
      </c>
      <c r="H17" s="8" t="s">
        <v>20</v>
      </c>
      <c r="I17" s="26">
        <v>6.9999999999999999E-6</v>
      </c>
      <c r="J17" s="10">
        <f t="shared" si="0"/>
        <v>6.9999999999999999E-6</v>
      </c>
      <c r="K17" s="32" t="str">
        <f t="shared" si="1"/>
        <v>-I</v>
      </c>
      <c r="M17" s="31">
        <f t="shared" si="7"/>
        <v>0.99999300000000002</v>
      </c>
      <c r="N17" s="10">
        <f t="shared" si="8"/>
        <v>0.99999300000000002</v>
      </c>
      <c r="O17" s="10">
        <f t="shared" si="9"/>
        <v>1.4E-5</v>
      </c>
      <c r="P17" s="10">
        <f t="shared" si="10"/>
        <v>1.4E-5</v>
      </c>
      <c r="Q17" s="9">
        <f t="array" ref="Q17">MIN(IF('Normen en duidingsklassen'!$E$13:$E$20&gt;=$J17,'Normen en duidingsklassen'!$E$13:$E$20))</f>
        <v>0.1</v>
      </c>
      <c r="R17" s="9">
        <f>IFERROR(MATCH($Q17,'Normen en duidingsklassen'!$E$13:$E$20,0),1)</f>
        <v>5</v>
      </c>
      <c r="S17" s="9" t="str">
        <f>INDEX('Normen en duidingsklassen'!$D$13:$D$20,R17)</f>
        <v>-I</v>
      </c>
      <c r="T17" s="12" t="b">
        <f t="shared" si="6"/>
        <v>0</v>
      </c>
    </row>
    <row r="18" spans="2:20" ht="15.75" customHeight="1" x14ac:dyDescent="0.25">
      <c r="B18" s="8" t="s">
        <v>15</v>
      </c>
      <c r="C18" s="9">
        <v>14</v>
      </c>
      <c r="D18" s="9">
        <v>16</v>
      </c>
      <c r="E18" s="23" t="s">
        <v>20</v>
      </c>
      <c r="F18" s="8" t="s">
        <v>26</v>
      </c>
      <c r="G18" s="26">
        <v>0.11</v>
      </c>
      <c r="H18" s="8" t="s">
        <v>20</v>
      </c>
      <c r="I18" s="26">
        <v>1.9999999999999999E-6</v>
      </c>
      <c r="J18" s="10">
        <f t="shared" si="0"/>
        <v>1.9999999999999999E-6</v>
      </c>
      <c r="K18" s="32" t="str">
        <f t="shared" si="1"/>
        <v>-I</v>
      </c>
      <c r="M18" s="31">
        <f t="shared" si="7"/>
        <v>0.99999800000000005</v>
      </c>
      <c r="N18" s="10">
        <f t="shared" si="8"/>
        <v>0.99999800000000005</v>
      </c>
      <c r="O18" s="10">
        <f t="shared" si="9"/>
        <v>3.9999999999999998E-6</v>
      </c>
      <c r="P18" s="10">
        <f t="shared" si="10"/>
        <v>3.9999999999999998E-6</v>
      </c>
      <c r="Q18" s="9">
        <f t="array" ref="Q18">MIN(IF('Normen en duidingsklassen'!$E$13:$E$20&gt;=$J18,'Normen en duidingsklassen'!$E$13:$E$20))</f>
        <v>0.1</v>
      </c>
      <c r="R18" s="9">
        <f>IFERROR(MATCH($Q18,'Normen en duidingsklassen'!$E$13:$E$20,0),1)</f>
        <v>5</v>
      </c>
      <c r="S18" s="9" t="str">
        <f>INDEX('Normen en duidingsklassen'!$D$13:$D$20,R18)</f>
        <v>-I</v>
      </c>
      <c r="T18" s="12" t="b">
        <f t="shared" si="6"/>
        <v>0</v>
      </c>
    </row>
    <row r="19" spans="2:20" ht="15.75" customHeight="1" x14ac:dyDescent="0.25">
      <c r="B19" s="8" t="s">
        <v>16</v>
      </c>
      <c r="C19" s="9">
        <v>16</v>
      </c>
      <c r="D19" s="9">
        <v>18</v>
      </c>
      <c r="E19" s="23" t="s">
        <v>20</v>
      </c>
      <c r="F19" s="8" t="s">
        <v>26</v>
      </c>
      <c r="G19" s="26">
        <v>0.1</v>
      </c>
      <c r="H19" s="8" t="s">
        <v>20</v>
      </c>
      <c r="I19" s="26">
        <v>5.0000000000000001E-4</v>
      </c>
      <c r="J19" s="10">
        <f t="shared" si="0"/>
        <v>5.0000000000000001E-4</v>
      </c>
      <c r="K19" s="32" t="str">
        <f t="shared" si="1"/>
        <v>-I</v>
      </c>
      <c r="M19" s="31">
        <f t="shared" si="7"/>
        <v>0.99950000000000006</v>
      </c>
      <c r="N19" s="10">
        <f t="shared" si="8"/>
        <v>0.99950000000000006</v>
      </c>
      <c r="O19" s="10">
        <f t="shared" si="9"/>
        <v>1E-3</v>
      </c>
      <c r="P19" s="10">
        <f t="shared" si="10"/>
        <v>1E-3</v>
      </c>
      <c r="Q19" s="9">
        <f t="array" ref="Q19">MIN(IF('Normen en duidingsklassen'!$E$13:$E$20&gt;=$J19,'Normen en duidingsklassen'!$E$13:$E$20))</f>
        <v>0.1</v>
      </c>
      <c r="R19" s="9">
        <f>IFERROR(MATCH($Q19,'Normen en duidingsklassen'!$E$13:$E$20,0),1)</f>
        <v>5</v>
      </c>
      <c r="S19" s="9" t="str">
        <f>INDEX('Normen en duidingsklassen'!$D$13:$D$20,R19)</f>
        <v>-I</v>
      </c>
      <c r="T19" s="12" t="b">
        <f t="shared" si="6"/>
        <v>0</v>
      </c>
    </row>
    <row r="20" spans="2:20" ht="15.75" customHeight="1" x14ac:dyDescent="0.25">
      <c r="B20" s="8" t="s">
        <v>17</v>
      </c>
      <c r="C20" s="9">
        <v>18</v>
      </c>
      <c r="D20" s="9">
        <v>20</v>
      </c>
      <c r="E20" s="23" t="s">
        <v>20</v>
      </c>
      <c r="F20" s="8" t="s">
        <v>26</v>
      </c>
      <c r="G20" s="26">
        <v>2.9999999999999998E-15</v>
      </c>
      <c r="H20" s="8" t="s">
        <v>21</v>
      </c>
      <c r="I20" s="26"/>
      <c r="J20" s="10">
        <f t="shared" si="0"/>
        <v>2.9999999999999998E-15</v>
      </c>
      <c r="K20" s="32" t="str">
        <f t="shared" si="1"/>
        <v>-I</v>
      </c>
      <c r="M20" s="31">
        <f t="shared" si="7"/>
        <v>0.999999999999997</v>
      </c>
      <c r="N20" s="10">
        <f t="shared" si="8"/>
        <v>0.999999999999997</v>
      </c>
      <c r="O20" s="10">
        <f t="shared" si="9"/>
        <v>5.9999999999999997E-15</v>
      </c>
      <c r="P20" s="10">
        <f t="shared" si="10"/>
        <v>5.9999999999999997E-15</v>
      </c>
      <c r="Q20" s="9">
        <f t="array" ref="Q20">MIN(IF('Normen en duidingsklassen'!$E$13:$E$20&gt;=$J20,'Normen en duidingsklassen'!$E$13:$E$20))</f>
        <v>0.1</v>
      </c>
      <c r="R20" s="9">
        <f>IFERROR(MATCH($Q20,'Normen en duidingsklassen'!$E$13:$E$20,0),1)</f>
        <v>5</v>
      </c>
      <c r="S20" s="9" t="str">
        <f>INDEX('Normen en duidingsklassen'!$D$13:$D$20,R20)</f>
        <v>-I</v>
      </c>
      <c r="T20" s="12" t="b">
        <f t="shared" si="6"/>
        <v>0</v>
      </c>
    </row>
    <row r="21" spans="2:20" ht="15.75" customHeight="1" x14ac:dyDescent="0.25">
      <c r="B21" s="8" t="s">
        <v>18</v>
      </c>
      <c r="C21" s="9">
        <v>20</v>
      </c>
      <c r="D21" s="9">
        <v>22</v>
      </c>
      <c r="E21" s="23" t="s">
        <v>20</v>
      </c>
      <c r="F21" s="8" t="s">
        <v>26</v>
      </c>
      <c r="G21" s="26">
        <v>4.0000000000000003E-5</v>
      </c>
      <c r="H21" s="8" t="s">
        <v>21</v>
      </c>
      <c r="I21" s="26"/>
      <c r="J21" s="10">
        <f t="shared" si="0"/>
        <v>4.0000000000000003E-5</v>
      </c>
      <c r="K21" s="32" t="str">
        <f t="shared" si="1"/>
        <v>-I</v>
      </c>
      <c r="M21" s="31">
        <f t="shared" si="7"/>
        <v>0.99995999999999996</v>
      </c>
      <c r="N21" s="10">
        <f t="shared" si="8"/>
        <v>0.99995999999999996</v>
      </c>
      <c r="O21" s="10">
        <f t="shared" si="9"/>
        <v>8.0000000000000007E-5</v>
      </c>
      <c r="P21" s="10">
        <f t="shared" si="10"/>
        <v>8.0000000000000007E-5</v>
      </c>
      <c r="Q21" s="9">
        <f t="array" ref="Q21">MIN(IF('Normen en duidingsklassen'!$E$13:$E$20&gt;=$J21,'Normen en duidingsklassen'!$E$13:$E$20))</f>
        <v>0.1</v>
      </c>
      <c r="R21" s="9">
        <f>IFERROR(MATCH($Q21,'Normen en duidingsklassen'!$E$13:$E$20,0),1)</f>
        <v>5</v>
      </c>
      <c r="S21" s="9" t="str">
        <f>INDEX('Normen en duidingsklassen'!$D$13:$D$20,R21)</f>
        <v>-I</v>
      </c>
      <c r="T21" s="12" t="b">
        <f t="shared" si="6"/>
        <v>0</v>
      </c>
    </row>
    <row r="22" spans="2:20" ht="15.75" customHeight="1" x14ac:dyDescent="0.25">
      <c r="B22" s="8" t="s">
        <v>19</v>
      </c>
      <c r="C22" s="9">
        <v>22</v>
      </c>
      <c r="D22" s="9">
        <v>24</v>
      </c>
      <c r="E22" s="23" t="s">
        <v>20</v>
      </c>
      <c r="F22" s="8" t="s">
        <v>26</v>
      </c>
      <c r="G22" s="26">
        <v>4.0000000000000001E-3</v>
      </c>
      <c r="H22" s="8" t="s">
        <v>21</v>
      </c>
      <c r="I22" s="26"/>
      <c r="J22" s="10">
        <f t="shared" si="0"/>
        <v>4.0000000000000001E-3</v>
      </c>
      <c r="K22" s="32" t="str">
        <f t="shared" si="1"/>
        <v>-I</v>
      </c>
      <c r="M22" s="31">
        <f t="shared" si="7"/>
        <v>0.996</v>
      </c>
      <c r="N22" s="10">
        <f t="shared" si="8"/>
        <v>0.996</v>
      </c>
      <c r="O22" s="10">
        <f t="shared" si="9"/>
        <v>8.0000000000000002E-3</v>
      </c>
      <c r="P22" s="10">
        <f t="shared" si="10"/>
        <v>8.0000000000000002E-3</v>
      </c>
      <c r="Q22" s="9">
        <f t="array" ref="Q22">MIN(IF('Normen en duidingsklassen'!$E$13:$E$20&gt;=$J22,'Normen en duidingsklassen'!$E$13:$E$20))</f>
        <v>0.1</v>
      </c>
      <c r="R22" s="9">
        <f>IFERROR(MATCH($Q22,'Normen en duidingsklassen'!$E$13:$E$20,0),1)</f>
        <v>5</v>
      </c>
      <c r="S22" s="9" t="str">
        <f>INDEX('Normen en duidingsklassen'!$D$13:$D$20,R22)</f>
        <v>-I</v>
      </c>
      <c r="T22" s="12" t="b">
        <f t="shared" si="6"/>
        <v>0</v>
      </c>
    </row>
    <row r="23" spans="2:20" ht="15.75" customHeight="1" x14ac:dyDescent="0.25">
      <c r="B23" s="8"/>
      <c r="C23" s="9"/>
      <c r="D23" s="9"/>
      <c r="E23" s="23"/>
      <c r="F23" s="8"/>
      <c r="G23" s="26"/>
      <c r="H23" s="8"/>
      <c r="I23" s="26"/>
      <c r="J23" s="10"/>
      <c r="K23" s="32"/>
      <c r="M23" s="31"/>
      <c r="N23" s="10"/>
      <c r="O23" s="10"/>
      <c r="P23" s="10"/>
      <c r="Q23" s="9"/>
      <c r="R23" s="9"/>
      <c r="S23" s="9"/>
      <c r="T23" s="12"/>
    </row>
    <row r="24" spans="2:20" ht="15.75" customHeight="1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/>
      <c r="N24" s="10"/>
      <c r="O24" s="10"/>
      <c r="P24" s="10"/>
      <c r="Q24" s="9"/>
      <c r="R24" s="9"/>
      <c r="S24" s="9"/>
      <c r="T24" s="12"/>
    </row>
    <row r="25" spans="2:20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/>
      <c r="N25" s="10"/>
      <c r="O25" s="10"/>
      <c r="P25" s="10"/>
      <c r="Q25" s="9"/>
      <c r="R25" s="9"/>
      <c r="S25" s="9"/>
      <c r="T25" s="12"/>
    </row>
    <row r="26" spans="2:20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/>
      <c r="N26" s="10"/>
      <c r="O26" s="10"/>
      <c r="P26" s="10"/>
      <c r="Q26" s="9"/>
      <c r="R26" s="9"/>
      <c r="S26" s="9"/>
      <c r="T26" s="12"/>
    </row>
    <row r="27" spans="2:20" ht="15.75" thickBot="1" x14ac:dyDescent="0.3">
      <c r="B27" s="13"/>
      <c r="C27" s="14"/>
      <c r="D27" s="14"/>
      <c r="E27" s="24"/>
      <c r="F27" s="13"/>
      <c r="G27" s="27"/>
      <c r="H27" s="13"/>
      <c r="I27" s="27"/>
      <c r="J27" s="15"/>
      <c r="K27" s="34"/>
      <c r="M27" s="33"/>
      <c r="N27" s="15"/>
      <c r="O27" s="15"/>
      <c r="P27" s="15"/>
      <c r="Q27" s="14"/>
      <c r="R27" s="14"/>
      <c r="S27" s="14"/>
      <c r="T27" s="17"/>
    </row>
    <row r="28" spans="2:20" x14ac:dyDescent="0.25">
      <c r="M28" s="1"/>
    </row>
    <row r="29" spans="2:20" x14ac:dyDescent="0.25">
      <c r="M29" s="1"/>
    </row>
  </sheetData>
  <conditionalFormatting sqref="G11:G15 G17:G27">
    <cfRule type="expression" dxfId="15" priority="5">
      <formula>IF($E11="Nee",TRUE,FALSE)</formula>
    </cfRule>
  </conditionalFormatting>
  <conditionalFormatting sqref="I11:I27">
    <cfRule type="expression" dxfId="14" priority="4">
      <formula>IF($H11="Nee",TRUE,FALSE)</formula>
    </cfRule>
  </conditionalFormatting>
  <conditionalFormatting sqref="K11:K27">
    <cfRule type="cellIs" dxfId="13" priority="1" operator="equal">
      <formula>"0"</formula>
    </cfRule>
    <cfRule type="cellIs" dxfId="12" priority="2" operator="equal">
      <formula>"ND"</formula>
    </cfRule>
    <cfRule type="cellIs" dxfId="11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9FC208BF-EAC7-4689-9C69-B4C0AF97788A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C5FD292B-C2DC-4845-B28E-24E6E20098B8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108B8320-33E6-4019-B0C6-D42133630008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6D9F7B0D-8F82-4139-BF58-3DF997FB327D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695ED08F-7F5E-4AA0-B9EC-1C679CD14FF4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7A0DEDA9-62F6-4584-A60C-AC430DA6FB4A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K11:K27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6D3252B-4C33-455B-8361-35393CCA4B04}">
          <x14:formula1>
            <xm:f>Informatiepagina!$B$15:$B$17</xm:f>
          </x14:formula1>
          <xm:sqref>E28:E43 F11:F27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87A45-E982-4D38-943F-709FC0B3DDCC}">
  <sheetPr>
    <tabColor rgb="FF9900FF"/>
  </sheetPr>
  <dimension ref="B2:H14"/>
  <sheetViews>
    <sheetView workbookViewId="0">
      <selection activeCell="E14" sqref="E14"/>
    </sheetView>
  </sheetViews>
  <sheetFormatPr defaultRowHeight="15" x14ac:dyDescent="0.25"/>
  <cols>
    <col min="2" max="2" width="34.140625" customWidth="1"/>
    <col min="3" max="3" width="8.5703125" bestFit="1" customWidth="1"/>
    <col min="4" max="5" width="18.7109375" customWidth="1"/>
  </cols>
  <sheetData>
    <row r="2" spans="2:8" x14ac:dyDescent="0.25">
      <c r="B2" s="2" t="s">
        <v>76</v>
      </c>
      <c r="D2" s="1" t="str">
        <f>IFERROR(1-PRODUCT(G7:G12),"GR")</f>
        <v>GR</v>
      </c>
      <c r="E2" t="str">
        <f>IF(D2="GR","-",INDEX('Normen en duidingsklassen'!$D$4:$D$8,H2))</f>
        <v>-</v>
      </c>
      <c r="G2">
        <f t="array" ref="G2">MIN(IF('Normen en duidingsklassen'!$F$4:$F$8&gt;D2,'Normen en duidingsklassen'!$F$4:$F$8))</f>
        <v>0</v>
      </c>
      <c r="H2">
        <f>IFERROR(MATCH(G2,'Normen en duidingsklassen'!$F$4:$F$8),1)</f>
        <v>3</v>
      </c>
    </row>
    <row r="3" spans="2:8" x14ac:dyDescent="0.25">
      <c r="B3" s="2" t="s">
        <v>75</v>
      </c>
      <c r="D3" s="1">
        <f>1-PRODUCT(H7:H12)</f>
        <v>3.4415002202242029E-2</v>
      </c>
      <c r="E3" t="str">
        <f>INDEX('Normen en duidingsklassen'!$D$4:$D$8,H3)</f>
        <v>C</v>
      </c>
      <c r="G3">
        <f t="array" ref="G3">MIN(IF('Normen en duidingsklassen'!$F$4:$F$8&gt;D3,'Normen en duidingsklassen'!$F$4:$F$8))</f>
        <v>0.1</v>
      </c>
      <c r="H3">
        <f>IFERROR(MATCH(G3,'Normen en duidingsklassen'!$F$4:$F$8),1)</f>
        <v>4</v>
      </c>
    </row>
    <row r="5" spans="2:8" ht="15.75" thickBot="1" x14ac:dyDescent="0.3">
      <c r="G5" s="2" t="s">
        <v>65</v>
      </c>
    </row>
    <row r="6" spans="2:8" ht="15.75" thickBot="1" x14ac:dyDescent="0.3">
      <c r="B6" s="44"/>
      <c r="C6" s="36" t="s">
        <v>47</v>
      </c>
      <c r="D6" s="48" t="s">
        <v>41</v>
      </c>
      <c r="E6" s="50" t="s">
        <v>77</v>
      </c>
      <c r="G6" s="35" t="s">
        <v>78</v>
      </c>
      <c r="H6" s="35" t="s">
        <v>79</v>
      </c>
    </row>
    <row r="7" spans="2:8" x14ac:dyDescent="0.25">
      <c r="B7" s="40" t="s">
        <v>69</v>
      </c>
      <c r="C7" s="29" t="str">
        <f>STPH!C5</f>
        <v>GR</v>
      </c>
      <c r="D7" s="25">
        <f>STPH!C6</f>
        <v>3.0440911317815011E-3</v>
      </c>
      <c r="E7" s="49"/>
      <c r="G7" s="1" t="e">
        <f>IF(ISNUMBER(E7),1-E7,1-C7)</f>
        <v>#VALUE!</v>
      </c>
      <c r="H7" s="1">
        <f>IF(ISNUMBER(E7),1-E7,1-D7)</f>
        <v>0.9969559088682185</v>
      </c>
    </row>
    <row r="8" spans="2:8" x14ac:dyDescent="0.25">
      <c r="B8" s="40" t="s">
        <v>70</v>
      </c>
      <c r="C8" s="31" t="str">
        <f>STBI!C5</f>
        <v>GR</v>
      </c>
      <c r="D8" s="26">
        <f>STBI!C6</f>
        <v>1.1238044587088547E-3</v>
      </c>
      <c r="E8" s="49"/>
      <c r="G8" s="1" t="e">
        <f t="shared" ref="G8:G14" si="0">IF(ISNUMBER(E8),1-E8,1-C8)</f>
        <v>#VALUE!</v>
      </c>
      <c r="H8" s="1">
        <f t="shared" ref="H8:H14" si="1">IF(ISNUMBER(E8),1-E8,1-D8)</f>
        <v>0.99887619554129115</v>
      </c>
    </row>
    <row r="9" spans="2:8" x14ac:dyDescent="0.25">
      <c r="B9" s="40" t="s">
        <v>71</v>
      </c>
      <c r="C9" s="31">
        <f>GEKB!C5</f>
        <v>0</v>
      </c>
      <c r="D9" s="26">
        <f>GEKB!C6</f>
        <v>0</v>
      </c>
      <c r="E9" s="49"/>
      <c r="G9" s="1">
        <f t="shared" si="0"/>
        <v>1</v>
      </c>
      <c r="H9" s="1">
        <f t="shared" si="1"/>
        <v>1</v>
      </c>
    </row>
    <row r="10" spans="2:8" x14ac:dyDescent="0.25">
      <c r="B10" s="40" t="s">
        <v>72</v>
      </c>
      <c r="C10" s="31">
        <f>DA!C5</f>
        <v>0</v>
      </c>
      <c r="D10" s="26">
        <f>DA!C6</f>
        <v>0</v>
      </c>
      <c r="E10" s="49"/>
      <c r="G10" s="1">
        <f t="shared" si="0"/>
        <v>1</v>
      </c>
      <c r="H10" s="1">
        <f t="shared" si="1"/>
        <v>1</v>
      </c>
    </row>
    <row r="11" spans="2:8" x14ac:dyDescent="0.25">
      <c r="B11" s="40" t="s">
        <v>73</v>
      </c>
      <c r="C11" s="31">
        <f>STKWp!C5</f>
        <v>1.9961410016728909E-3</v>
      </c>
      <c r="D11" s="26">
        <f>STKWp!C6</f>
        <v>1.9961410016728909E-3</v>
      </c>
      <c r="E11" s="49"/>
      <c r="G11" s="1">
        <f t="shared" si="0"/>
        <v>0.99800385899832711</v>
      </c>
      <c r="H11" s="1">
        <f t="shared" si="1"/>
        <v>0.99800385899832711</v>
      </c>
    </row>
    <row r="12" spans="2:8" x14ac:dyDescent="0.25">
      <c r="B12" s="40" t="s">
        <v>74</v>
      </c>
      <c r="C12" s="31">
        <f>HTKW!C5</f>
        <v>2.8437656524269217E-2</v>
      </c>
      <c r="D12" s="26">
        <f>HTKW!C6</f>
        <v>2.8437656524269217E-2</v>
      </c>
      <c r="E12" s="49"/>
      <c r="G12" s="1">
        <f t="shared" si="0"/>
        <v>0.97156234347573078</v>
      </c>
      <c r="H12" s="1">
        <f t="shared" si="1"/>
        <v>0.97156234347573078</v>
      </c>
    </row>
    <row r="13" spans="2:8" x14ac:dyDescent="0.25">
      <c r="B13" s="40"/>
      <c r="C13" s="31"/>
      <c r="D13" s="26"/>
      <c r="E13" s="49"/>
      <c r="G13" s="1">
        <f t="shared" si="0"/>
        <v>1</v>
      </c>
      <c r="H13" s="1">
        <f t="shared" si="1"/>
        <v>1</v>
      </c>
    </row>
    <row r="14" spans="2:8" ht="15.75" thickBot="1" x14ac:dyDescent="0.3">
      <c r="B14" s="41"/>
      <c r="C14" s="33"/>
      <c r="D14" s="27"/>
      <c r="E14" s="51"/>
      <c r="G14" s="1">
        <f t="shared" si="0"/>
        <v>1</v>
      </c>
      <c r="H14" s="1">
        <f t="shared" si="1"/>
        <v>1</v>
      </c>
    </row>
  </sheetData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6BB36B6F-2854-4309-8D3C-773693164583}">
            <xm:f>'Normen en duidingsklassen'!$D$8</xm:f>
            <x14:dxf>
              <fill>
                <patternFill>
                  <bgColor rgb="FFFF0000"/>
                </patternFill>
              </fill>
            </x14:dxf>
          </x14:cfRule>
          <x14:cfRule type="cellIs" priority="2" operator="equal" id="{1B679EA0-BF90-419D-8CFE-2F61FBA0255A}">
            <xm:f>'Normen en duidingsklassen'!$D$7</xm:f>
            <x14:dxf>
              <fill>
                <patternFill>
                  <bgColor rgb="FFFFC000"/>
                </patternFill>
              </fill>
            </x14:dxf>
          </x14:cfRule>
          <x14:cfRule type="cellIs" priority="3" operator="equal" id="{122B82C2-117C-48BE-BD24-FC1CBF92F9F4}">
            <xm:f>'Normen en duidingsklassen'!$D$6</xm:f>
            <x14:dxf>
              <fill>
                <patternFill>
                  <bgColor rgb="FFFFFF00"/>
                </patternFill>
              </fill>
            </x14:dxf>
          </x14:cfRule>
          <x14:cfRule type="cellIs" priority="4" operator="equal" id="{AB2F1D61-37C6-4968-BD41-35CB8AC434AF}">
            <xm:f>'Normen en duidingsklassen'!$D$5</xm:f>
            <x14:dxf>
              <fill>
                <patternFill>
                  <bgColor rgb="FF009900"/>
                </patternFill>
              </fill>
            </x14:dxf>
          </x14:cfRule>
          <x14:cfRule type="cellIs" priority="5" operator="equal" id="{2393F868-18B9-4786-947F-270884B44225}">
            <xm:f>'Normen en duidingsklassen'!$D$4</xm:f>
            <x14:dxf>
              <fill>
                <patternFill>
                  <bgColor rgb="FF99FF33"/>
                </patternFill>
              </fill>
            </x14:dxf>
          </x14:cfRule>
          <xm:sqref>E2:E3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1B11F-853A-4711-B7CD-3D9CDC33C297}">
  <sheetPr>
    <tabColor rgb="FF9900FF"/>
  </sheetPr>
  <dimension ref="B1:L45"/>
  <sheetViews>
    <sheetView workbookViewId="0">
      <selection activeCell="D3" sqref="D3:E3"/>
    </sheetView>
  </sheetViews>
  <sheetFormatPr defaultRowHeight="15" x14ac:dyDescent="0.25"/>
  <cols>
    <col min="1" max="1" width="3.28515625" customWidth="1"/>
    <col min="4" max="4" width="14.28515625" bestFit="1" customWidth="1"/>
    <col min="5" max="5" width="14.28515625" customWidth="1"/>
    <col min="8" max="8" width="12" bestFit="1" customWidth="1"/>
  </cols>
  <sheetData>
    <row r="1" spans="2:12" ht="15.75" thickBot="1" x14ac:dyDescent="0.3">
      <c r="C1" s="9"/>
    </row>
    <row r="2" spans="2:12" ht="15.75" thickBot="1" x14ac:dyDescent="0.3">
      <c r="B2" s="9"/>
      <c r="C2" s="14"/>
      <c r="D2" s="68" t="s">
        <v>106</v>
      </c>
      <c r="E2" s="68" t="s">
        <v>110</v>
      </c>
      <c r="F2" s="53" t="s">
        <v>69</v>
      </c>
      <c r="G2" s="53" t="s">
        <v>70</v>
      </c>
      <c r="H2" s="53" t="s">
        <v>71</v>
      </c>
      <c r="I2" s="53" t="s">
        <v>72</v>
      </c>
      <c r="J2" s="53" t="s">
        <v>73</v>
      </c>
      <c r="K2" s="53" t="s">
        <v>93</v>
      </c>
      <c r="L2" s="54" t="s">
        <v>74</v>
      </c>
    </row>
    <row r="3" spans="2:12" x14ac:dyDescent="0.25">
      <c r="B3" s="3">
        <v>0</v>
      </c>
      <c r="C3" s="9">
        <v>2</v>
      </c>
      <c r="D3" s="22" t="str">
        <f>IF(COUNTIF(F3:L3,"D")&gt;0,"D",IF(COUNTIF(F3:L3,"-III")&gt;0,"-III",IF(COUNTIF(F3:L3,"-II")&gt;0,"-II",IF(COUNTIF(F3:L3,"-I")&gt;0,"-I",IF(COUNTIF(F3:L3,"+0")&gt;0,"+0",IF(COUNTIF(F3:L3,"+I")&gt;0,"+I",IF(COUNTIF(F3:L3,"+II")&gt;0,"+II",IF(COUNTIF(F3:L3,"+III")&gt;0,"+III",IF(COUNTIF(F3:L3,"ND")&gt;0,"ND","NR")))))))))</f>
        <v>+III</v>
      </c>
      <c r="E3" s="22" t="str">
        <f>IF(COUNTIF(F3:L3,"-III")&gt;0,"-III",IF(COUNTIF(F3:L3,"-II")&gt;0,"-II",IF(COUNTIF(F3:L3,"-I")&gt;0,"-I",IF(COUNTIF(F3:L3,"+0")&gt;0,"+0",IF(COUNTIF(F3:L3,"+I")&gt;0,"+I",IF(COUNTIF(F3:L3,"+II")&gt;0,"+II",IF(COUNTIF(F3:L3,"+III")&gt;0,"+III",IF(COUNTIF(F3:L3,"ND")&gt;0,"ND","NR"))))))))</f>
        <v>+III</v>
      </c>
      <c r="F3" s="4" t="str">
        <f t="array" ref="F3">INDEX(STPH!$O$11:$O$30,IFERROR(MATCH(MIN(IF(STPH!$D$11:$D$30&gt;AVERAGE(B3,C3),STPH!$D$11:$D$30)),STPH!$D$11:$D$30),1))</f>
        <v>ND</v>
      </c>
      <c r="G3" s="4" t="str">
        <f t="array" ref="G3">INDEX(STBI!$O$11:$O$30,IFERROR(MATCH(MIN(IF(STBI!$D$11:$D$30&gt;AVERAGE(B3,C3),STBI!$D$11:$D$30)),STBI!$D$11:$D$30),1))</f>
        <v>+III</v>
      </c>
      <c r="H3" s="4" t="str">
        <f t="array" ref="H3">INDEX(GEKB!$K$11:$K$30,IFERROR(MATCH(MIN(IF(GEKB!$D$11:$D$30&gt;AVERAGE(B3,C3),GEKB!$D$11:$D$30)),GEKB!$D$11:$D$30),1))</f>
        <v>NR</v>
      </c>
      <c r="I3" s="4" t="str">
        <f t="array" ref="I3">INDEX(DA!$K$11:$K$30,IFERROR(MATCH(MIN(IF(DA!$D$11:$D$30&gt;AVERAGE(B3,C3),DA!$D$11:$D$30)),DA!$D$11:$D$30),1))</f>
        <v>NR</v>
      </c>
      <c r="J3" s="4" t="str">
        <f t="array" ref="J3">INDEX(STKWp!$K$11:$K$30,IFERROR(MATCH(MIN(IF(STKWp!$D$11:$D$30&gt;AVERAGE(B3,C3),STKWp!$D$11:$D$30)),STKWp!$D$11:$D$30),1))</f>
        <v>ND</v>
      </c>
      <c r="K3" s="4" t="str">
        <f t="array" ref="K3">INDEX(BSKW!$K$11:$K$30,IFERROR(MATCH(MIN(IF(BSKW!$D$11:$D$30&gt;AVERAGE(B3,C3),BSKW!$D$11:$D$30)),BSKW!$D$11:$D$30),1))</f>
        <v>NR</v>
      </c>
      <c r="L3" s="7" t="str">
        <f t="array" ref="L3">INDEX(HTKW!$K$11:$K$30,IFERROR(MATCH(MIN(IF(HTKW!$D$11:$D$30&gt;AVERAGE(B3,C3),HTKW!$D$11:$D$30)),HTKW!$D$11:$D$30),1))</f>
        <v>ND</v>
      </c>
    </row>
    <row r="4" spans="2:12" x14ac:dyDescent="0.25">
      <c r="B4" s="8">
        <v>2</v>
      </c>
      <c r="C4" s="9">
        <v>4</v>
      </c>
      <c r="D4" s="23" t="str">
        <f t="shared" ref="D4:D14" si="0">IF(COUNTIF(F4:L4,"D")&gt;0,"D",IF(COUNTIF(F4:L4,"-III")&gt;0,"-III",IF(COUNTIF(F4:L4,"-II")&gt;0,"-II",IF(COUNTIF(F4:L4,"-I")&gt;0,"-I",IF(COUNTIF(F4:L4,"+0")&gt;0,"+0",IF(COUNTIF(F4:L4,"+I")&gt;0,"+I",IF(COUNTIF(F4:L4,"+II")&gt;0,"+II",IF(COUNTIF(F4:L4,"+III")&gt;0,"+III",IF(COUNTIF(F4:L4,"ND")&gt;0,"ND","NR")))))))))</f>
        <v>-I</v>
      </c>
      <c r="E4" s="23" t="str">
        <f t="shared" ref="E4:E14" si="1">IF(COUNTIF(F4:L4,"-III")&gt;0,"-III",IF(COUNTIF(F4:L4,"-II")&gt;0,"-II",IF(COUNTIF(F4:L4,"-I")&gt;0,"-I",IF(COUNTIF(F4:L4,"+0")&gt;0,"+0",IF(COUNTIF(F4:L4,"+I")&gt;0,"+I",IF(COUNTIF(F4:L4,"+II")&gt;0,"+II",IF(COUNTIF(F4:L4,"+III")&gt;0,"+III",IF(COUNTIF(F4:L4,"ND")&gt;0,"ND","NR"))))))))</f>
        <v>-I</v>
      </c>
      <c r="F4" s="9" t="str">
        <f t="array" ref="F4">INDEX(STPH!$O$11:$O$30,IFERROR(MATCH(MIN(IF(STPH!$D$11:$D$30&gt;AVERAGE(B4,C4),STPH!$D$11:$D$30)),STPH!$D$11:$D$30),1))</f>
        <v>+III</v>
      </c>
      <c r="G4" s="9" t="str">
        <f t="array" ref="G4">INDEX(STBI!$O$11:$O$30,IFERROR(MATCH(MIN(IF(STBI!$D$11:$D$30&gt;AVERAGE(B4,C4),STBI!$D$11:$D$30)),STBI!$D$11:$D$30),1))</f>
        <v>-I</v>
      </c>
      <c r="H4" s="9" t="str">
        <f t="array" ref="H4">INDEX(GEKB!$K$11:$K$30,IFERROR(MATCH(MIN(IF(GEKB!$D$11:$D$30&gt;AVERAGE(B4,C4),GEKB!$D$11:$D$30)),GEKB!$D$11:$D$30),1))</f>
        <v>NR</v>
      </c>
      <c r="I4" s="9" t="str">
        <f t="array" ref="I4">INDEX(DA!$K$11:$K$30,IFERROR(MATCH(MIN(IF(DA!$D$11:$D$30&gt;AVERAGE(B4,C4),DA!$D$11:$D$30)),DA!$D$11:$D$30),1))</f>
        <v>NR</v>
      </c>
      <c r="J4" s="9" t="str">
        <f t="array" ref="J4">INDEX(STKWp!$K$11:$K$30,IFERROR(MATCH(MIN(IF(STKWp!$D$11:$D$30&gt;AVERAGE(B4,C4),STKWp!$D$11:$D$30)),STKWp!$D$11:$D$30),1))</f>
        <v>+III</v>
      </c>
      <c r="K4" s="9" t="str">
        <f t="array" ref="K4">INDEX(BSKW!$K$11:$K$30,IFERROR(MATCH(MIN(IF(BSKW!$D$11:$D$30&gt;AVERAGE(B4,C4),BSKW!$D$11:$D$30)),BSKW!$D$11:$D$30),1))</f>
        <v>ND</v>
      </c>
      <c r="L4" s="12" t="str">
        <f t="array" ref="L4">INDEX(HTKW!$K$11:$K$30,IFERROR(MATCH(MIN(IF(HTKW!$D$11:$D$30&gt;AVERAGE(B4,C4),HTKW!$D$11:$D$30)),HTKW!$D$11:$D$30),1))</f>
        <v>+III</v>
      </c>
    </row>
    <row r="5" spans="2:12" x14ac:dyDescent="0.25">
      <c r="B5" s="8">
        <v>4</v>
      </c>
      <c r="C5" s="9">
        <v>6</v>
      </c>
      <c r="D5" s="23" t="str">
        <f t="shared" si="0"/>
        <v>-I</v>
      </c>
      <c r="E5" s="23" t="str">
        <f t="shared" si="1"/>
        <v>-I</v>
      </c>
      <c r="F5" s="9" t="str">
        <f t="array" ref="F5">INDEX(STPH!$O$11:$O$30,IFERROR(MATCH(MIN(IF(STPH!$D$11:$D$30&gt;AVERAGE(B5,C5),STPH!$D$11:$D$30)),STPH!$D$11:$D$30),1))</f>
        <v>+III</v>
      </c>
      <c r="G5" s="9" t="str">
        <f t="array" ref="G5">INDEX(STBI!$O$11:$O$30,IFERROR(MATCH(MIN(IF(STBI!$D$11:$D$30&gt;AVERAGE(B5,C5),STBI!$D$11:$D$30)),STBI!$D$11:$D$30),1))</f>
        <v>-I</v>
      </c>
      <c r="H5" s="9" t="str">
        <f t="array" ref="H5">INDEX(GEKB!$K$11:$K$30,IFERROR(MATCH(MIN(IF(GEKB!$D$11:$D$30&gt;AVERAGE(B5,C5),GEKB!$D$11:$D$30)),GEKB!$D$11:$D$30),1))</f>
        <v>NR</v>
      </c>
      <c r="I5" s="9" t="str">
        <f t="array" ref="I5">INDEX(DA!$K$11:$K$30,IFERROR(MATCH(MIN(IF(DA!$D$11:$D$30&gt;AVERAGE(B5,C5),DA!$D$11:$D$30)),DA!$D$11:$D$30),1))</f>
        <v>NR</v>
      </c>
      <c r="J5" s="9" t="str">
        <f t="array" ref="J5">INDEX(STKWp!$K$11:$K$30,IFERROR(MATCH(MIN(IF(STKWp!$D$11:$D$30&gt;AVERAGE(B5,C5),STKWp!$D$11:$D$30)),STKWp!$D$11:$D$30),1))</f>
        <v>-I</v>
      </c>
      <c r="K5" s="9" t="str">
        <f t="array" ref="K5">INDEX(BSKW!$K$11:$K$30,IFERROR(MATCH(MIN(IF(BSKW!$D$11:$D$30&gt;AVERAGE(B5,C5),BSKW!$D$11:$D$30)),BSKW!$D$11:$D$30),1))</f>
        <v>+III</v>
      </c>
      <c r="L5" s="12" t="str">
        <f t="array" ref="L5">INDEX(HTKW!$K$11:$K$30,IFERROR(MATCH(MIN(IF(HTKW!$D$11:$D$30&gt;AVERAGE(B5,C5),HTKW!$D$11:$D$30)),HTKW!$D$11:$D$30),1))</f>
        <v>-I</v>
      </c>
    </row>
    <row r="6" spans="2:12" x14ac:dyDescent="0.25">
      <c r="B6" s="8">
        <v>6</v>
      </c>
      <c r="C6" s="9">
        <v>8</v>
      </c>
      <c r="D6" s="23" t="str">
        <f t="shared" si="0"/>
        <v>D</v>
      </c>
      <c r="E6" s="23" t="str">
        <f t="shared" si="1"/>
        <v>-I</v>
      </c>
      <c r="F6" s="9" t="str">
        <f t="array" ref="F6">INDEX(STPH!$O$11:$O$30,IFERROR(MATCH(MIN(IF(STPH!$D$11:$D$30&gt;AVERAGE(B6,C6),STPH!$D$11:$D$30)),STPH!$D$11:$D$30),1))</f>
        <v>D</v>
      </c>
      <c r="G6" s="9" t="str">
        <f t="array" ref="G6">INDEX(STBI!$O$11:$O$30,IFERROR(MATCH(MIN(IF(STBI!$D$11:$D$30&gt;AVERAGE(B6,C6),STBI!$D$11:$D$30)),STBI!$D$11:$D$30),1))</f>
        <v>NR</v>
      </c>
      <c r="H6" s="9" t="str">
        <f t="array" ref="H6">INDEX(GEKB!$K$11:$K$30,IFERROR(MATCH(MIN(IF(GEKB!$D$11:$D$30&gt;AVERAGE(B6,C6),GEKB!$D$11:$D$30)),GEKB!$D$11:$D$30),1))</f>
        <v>NR</v>
      </c>
      <c r="I6" s="9" t="str">
        <f t="array" ref="I6">INDEX(DA!$K$11:$K$30,IFERROR(MATCH(MIN(IF(DA!$D$11:$D$30&gt;AVERAGE(B6,C6),DA!$D$11:$D$30)),DA!$D$11:$D$30),1))</f>
        <v>NR</v>
      </c>
      <c r="J6" s="9" t="str">
        <f t="array" ref="J6">INDEX(STKWp!$K$11:$K$30,IFERROR(MATCH(MIN(IF(STKWp!$D$11:$D$30&gt;AVERAGE(B6,C6),STKWp!$D$11:$D$30)),STKWp!$D$11:$D$30),1))</f>
        <v>-I</v>
      </c>
      <c r="K6" s="9" t="str">
        <f t="array" ref="K6">INDEX(BSKW!$K$11:$K$30,IFERROR(MATCH(MIN(IF(BSKW!$D$11:$D$30&gt;AVERAGE(B6,C6),BSKW!$D$11:$D$30)),BSKW!$D$11:$D$30),1))</f>
        <v>-I</v>
      </c>
      <c r="L6" s="12" t="str">
        <f t="array" ref="L6">INDEX(HTKW!$K$11:$K$30,IFERROR(MATCH(MIN(IF(HTKW!$D$11:$D$30&gt;AVERAGE(B6,C6),HTKW!$D$11:$D$30)),HTKW!$D$11:$D$30),1))</f>
        <v>NR</v>
      </c>
    </row>
    <row r="7" spans="2:12" x14ac:dyDescent="0.25">
      <c r="B7" s="8">
        <v>8</v>
      </c>
      <c r="C7" s="9">
        <v>10</v>
      </c>
      <c r="D7" s="23" t="str">
        <f t="shared" si="0"/>
        <v>-I</v>
      </c>
      <c r="E7" s="23" t="str">
        <f t="shared" si="1"/>
        <v>-I</v>
      </c>
      <c r="F7" s="9" t="str">
        <f t="array" ref="F7">INDEX(STPH!$O$11:$O$30,IFERROR(MATCH(MIN(IF(STPH!$D$11:$D$30&gt;AVERAGE(B7,C7),STPH!$D$11:$D$30)),STPH!$D$11:$D$30),1))</f>
        <v>-I</v>
      </c>
      <c r="G7" s="9" t="str">
        <f t="array" ref="G7">INDEX(STBI!$O$11:$O$30,IFERROR(MATCH(MIN(IF(STBI!$D$11:$D$30&gt;AVERAGE(B7,C7),STBI!$D$11:$D$30)),STBI!$D$11:$D$30),1))</f>
        <v>-I</v>
      </c>
      <c r="H7" s="9" t="str">
        <f t="array" ref="H7">INDEX(GEKB!$K$11:$K$30,IFERROR(MATCH(MIN(IF(GEKB!$D$11:$D$30&gt;AVERAGE(B7,C7),GEKB!$D$11:$D$30)),GEKB!$D$11:$D$30),1))</f>
        <v>NR</v>
      </c>
      <c r="I7" s="9" t="str">
        <f t="array" ref="I7">INDEX(DA!$K$11:$K$30,IFERROR(MATCH(MIN(IF(DA!$D$11:$D$30&gt;AVERAGE(B7,C7),DA!$D$11:$D$30)),DA!$D$11:$D$30),1))</f>
        <v>NR</v>
      </c>
      <c r="J7" s="9" t="str">
        <f t="array" ref="J7">INDEX(STKWp!$K$11:$K$30,IFERROR(MATCH(MIN(IF(STKWp!$D$11:$D$30&gt;AVERAGE(B7,C7),STKWp!$D$11:$D$30)),STKWp!$D$11:$D$30),1))</f>
        <v>-I</v>
      </c>
      <c r="K7" s="9" t="str">
        <f t="array" ref="K7">INDEX(BSKW!$K$11:$K$30,IFERROR(MATCH(MIN(IF(BSKW!$D$11:$D$30&gt;AVERAGE(B7,C7),BSKW!$D$11:$D$30)),BSKW!$D$11:$D$30),1))</f>
        <v>-I</v>
      </c>
      <c r="L7" s="12" t="str">
        <f t="array" ref="L7">INDEX(HTKW!$K$11:$K$30,IFERROR(MATCH(MIN(IF(HTKW!$D$11:$D$30&gt;AVERAGE(B7,C7),HTKW!$D$11:$D$30)),HTKW!$D$11:$D$30),1))</f>
        <v>NR</v>
      </c>
    </row>
    <row r="8" spans="2:12" x14ac:dyDescent="0.25">
      <c r="B8" s="8">
        <v>10</v>
      </c>
      <c r="C8" s="9">
        <v>12</v>
      </c>
      <c r="D8" s="23" t="str">
        <f t="shared" si="0"/>
        <v>-I</v>
      </c>
      <c r="E8" s="23" t="str">
        <f t="shared" si="1"/>
        <v>-I</v>
      </c>
      <c r="F8" s="9" t="str">
        <f t="array" ref="F8">INDEX(STPH!$O$11:$O$30,IFERROR(MATCH(MIN(IF(STPH!$D$11:$D$30&gt;AVERAGE(B8,C8),STPH!$D$11:$D$30)),STPH!$D$11:$D$30),1))</f>
        <v>NR</v>
      </c>
      <c r="G8" s="9" t="str">
        <f t="array" ref="G8">INDEX(STBI!$O$11:$O$30,IFERROR(MATCH(MIN(IF(STBI!$D$11:$D$30&gt;AVERAGE(B8,C8),STBI!$D$11:$D$30)),STBI!$D$11:$D$30),1))</f>
        <v>NR</v>
      </c>
      <c r="H8" s="9" t="str">
        <f t="array" ref="H8">INDEX(GEKB!$K$11:$K$30,IFERROR(MATCH(MIN(IF(GEKB!$D$11:$D$30&gt;AVERAGE(B8,C8),GEKB!$D$11:$D$30)),GEKB!$D$11:$D$30),1))</f>
        <v>NR</v>
      </c>
      <c r="I8" s="9" t="str">
        <f t="array" ref="I8">INDEX(DA!$K$11:$K$30,IFERROR(MATCH(MIN(IF(DA!$D$11:$D$30&gt;AVERAGE(B8,C8),DA!$D$11:$D$30)),DA!$D$11:$D$30),1))</f>
        <v>NR</v>
      </c>
      <c r="J8" s="9" t="str">
        <f t="array" ref="J8">INDEX(STKWp!$K$11:$K$30,IFERROR(MATCH(MIN(IF(STKWp!$D$11:$D$30&gt;AVERAGE(B8,C8),STKWp!$D$11:$D$30)),STKWp!$D$11:$D$30),1))</f>
        <v>+III</v>
      </c>
      <c r="K8" s="9" t="str">
        <f t="array" ref="K8">INDEX(BSKW!$K$11:$K$30,IFERROR(MATCH(MIN(IF(BSKW!$D$11:$D$30&gt;AVERAGE(B8,C8),BSKW!$D$11:$D$30)),BSKW!$D$11:$D$30),1))</f>
        <v>NR</v>
      </c>
      <c r="L8" s="12" t="str">
        <f t="array" ref="L8">INDEX(HTKW!$K$11:$K$30,IFERROR(MATCH(MIN(IF(HTKW!$D$11:$D$30&gt;AVERAGE(B8,C8),HTKW!$D$11:$D$30)),HTKW!$D$11:$D$30),1))</f>
        <v>-I</v>
      </c>
    </row>
    <row r="9" spans="2:12" x14ac:dyDescent="0.25">
      <c r="B9" s="8">
        <v>12</v>
      </c>
      <c r="C9" s="9">
        <v>14</v>
      </c>
      <c r="D9" s="23" t="str">
        <f t="shared" si="0"/>
        <v>-I</v>
      </c>
      <c r="E9" s="23" t="str">
        <f t="shared" si="1"/>
        <v>-I</v>
      </c>
      <c r="F9" s="9" t="str">
        <f t="array" ref="F9">INDEX(STPH!$O$11:$O$30,IFERROR(MATCH(MIN(IF(STPH!$D$11:$D$30&gt;AVERAGE(B9,C9),STPH!$D$11:$D$30)),STPH!$D$11:$D$30),1))</f>
        <v>NR</v>
      </c>
      <c r="G9" s="9" t="str">
        <f t="array" ref="G9">INDEX(STBI!$O$11:$O$30,IFERROR(MATCH(MIN(IF(STBI!$D$11:$D$30&gt;AVERAGE(B9,C9),STBI!$D$11:$D$30)),STBI!$D$11:$D$30),1))</f>
        <v>-I</v>
      </c>
      <c r="H9" s="9" t="str">
        <f t="array" ref="H9">INDEX(GEKB!$K$11:$K$30,IFERROR(MATCH(MIN(IF(GEKB!$D$11:$D$30&gt;AVERAGE(B9,C9),GEKB!$D$11:$D$30)),GEKB!$D$11:$D$30),1))</f>
        <v>NR</v>
      </c>
      <c r="I9" s="9" t="str">
        <f t="array" ref="I9">INDEX(DA!$K$11:$K$30,IFERROR(MATCH(MIN(IF(DA!$D$11:$D$30&gt;AVERAGE(B9,C9),DA!$D$11:$D$30)),DA!$D$11:$D$30),1))</f>
        <v>NR</v>
      </c>
      <c r="J9" s="9" t="str">
        <f t="array" ref="J9">INDEX(STKWp!$K$11:$K$30,IFERROR(MATCH(MIN(IF(STKWp!$D$11:$D$30&gt;AVERAGE(B9,C9),STKWp!$D$11:$D$30)),STKWp!$D$11:$D$30),1))</f>
        <v>-I</v>
      </c>
      <c r="K9" s="9" t="str">
        <f t="array" ref="K9">INDEX(BSKW!$K$11:$K$30,IFERROR(MATCH(MIN(IF(BSKW!$D$11:$D$30&gt;AVERAGE(B9,C9),BSKW!$D$11:$D$30)),BSKW!$D$11:$D$30),1))</f>
        <v>NR</v>
      </c>
      <c r="L9" s="12" t="str">
        <f t="array" ref="L9">INDEX(HTKW!$K$11:$K$30,IFERROR(MATCH(MIN(IF(HTKW!$D$11:$D$30&gt;AVERAGE(B9,C9),HTKW!$D$11:$D$30)),HTKW!$D$11:$D$30),1))</f>
        <v>-I</v>
      </c>
    </row>
    <row r="10" spans="2:12" x14ac:dyDescent="0.25">
      <c r="B10" s="8">
        <v>14</v>
      </c>
      <c r="C10" s="9">
        <v>16</v>
      </c>
      <c r="D10" s="23" t="str">
        <f t="shared" si="0"/>
        <v>-I</v>
      </c>
      <c r="E10" s="23" t="str">
        <f t="shared" si="1"/>
        <v>-I</v>
      </c>
      <c r="F10" s="9" t="str">
        <f t="array" ref="F10">INDEX(STPH!$O$11:$O$30,IFERROR(MATCH(MIN(IF(STPH!$D$11:$D$30&gt;AVERAGE(B10,C10),STPH!$D$11:$D$30)),STPH!$D$11:$D$30),1))</f>
        <v>NR</v>
      </c>
      <c r="G10" s="9" t="str">
        <f t="array" ref="G10">INDEX(STBI!$O$11:$O$30,IFERROR(MATCH(MIN(IF(STBI!$D$11:$D$30&gt;AVERAGE(B10,C10),STBI!$D$11:$D$30)),STBI!$D$11:$D$30),1))</f>
        <v>-I</v>
      </c>
      <c r="H10" s="9" t="str">
        <f t="array" ref="H10">INDEX(GEKB!$K$11:$K$30,IFERROR(MATCH(MIN(IF(GEKB!$D$11:$D$30&gt;AVERAGE(B10,C10),GEKB!$D$11:$D$30)),GEKB!$D$11:$D$30),1))</f>
        <v>NR</v>
      </c>
      <c r="I10" s="9" t="str">
        <f t="array" ref="I10">INDEX(DA!$K$11:$K$30,IFERROR(MATCH(MIN(IF(DA!$D$11:$D$30&gt;AVERAGE(B10,C10),DA!$D$11:$D$30)),DA!$D$11:$D$30),1))</f>
        <v>NR</v>
      </c>
      <c r="J10" s="9" t="str">
        <f t="array" ref="J10">INDEX(STKWp!$K$11:$K$30,IFERROR(MATCH(MIN(IF(STKWp!$D$11:$D$30&gt;AVERAGE(B10,C10),STKWp!$D$11:$D$30)),STKWp!$D$11:$D$30),1))</f>
        <v>-I</v>
      </c>
      <c r="K10" s="9" t="str">
        <f t="array" ref="K10">INDEX(BSKW!$K$11:$K$30,IFERROR(MATCH(MIN(IF(BSKW!$D$11:$D$30&gt;AVERAGE(B10,C10),BSKW!$D$11:$D$30)),BSKW!$D$11:$D$30),1))</f>
        <v>+III</v>
      </c>
      <c r="L10" s="12" t="str">
        <f t="array" ref="L10">INDEX(HTKW!$K$11:$K$30,IFERROR(MATCH(MIN(IF(HTKW!$D$11:$D$30&gt;AVERAGE(B10,C10),HTKW!$D$11:$D$30)),HTKW!$D$11:$D$30),1))</f>
        <v>-I</v>
      </c>
    </row>
    <row r="11" spans="2:12" x14ac:dyDescent="0.25">
      <c r="B11" s="8">
        <v>16</v>
      </c>
      <c r="C11" s="9">
        <v>18</v>
      </c>
      <c r="D11" s="23" t="str">
        <f t="shared" si="0"/>
        <v>D</v>
      </c>
      <c r="E11" s="23" t="str">
        <f t="shared" si="1"/>
        <v>-I</v>
      </c>
      <c r="F11" s="9" t="str">
        <f t="array" ref="F11">INDEX(STPH!$O$11:$O$30,IFERROR(MATCH(MIN(IF(STPH!$D$11:$D$30&gt;AVERAGE(B11,C11),STPH!$D$11:$D$30)),STPH!$D$11:$D$30),1))</f>
        <v>-I</v>
      </c>
      <c r="G11" s="9" t="str">
        <f t="array" ref="G11">INDEX(STBI!$O$11:$O$30,IFERROR(MATCH(MIN(IF(STBI!$D$11:$D$30&gt;AVERAGE(B11,C11),STBI!$D$11:$D$30)),STBI!$D$11:$D$30),1))</f>
        <v>D</v>
      </c>
      <c r="H11" s="9" t="str">
        <f t="array" ref="H11">INDEX(GEKB!$K$11:$K$30,IFERROR(MATCH(MIN(IF(GEKB!$D$11:$D$30&gt;AVERAGE(B11,C11),GEKB!$D$11:$D$30)),GEKB!$D$11:$D$30),1))</f>
        <v>NR</v>
      </c>
      <c r="I11" s="9" t="str">
        <f t="array" ref="I11">INDEX(DA!$K$11:$K$30,IFERROR(MATCH(MIN(IF(DA!$D$11:$D$30&gt;AVERAGE(B11,C11),DA!$D$11:$D$30)),DA!$D$11:$D$30),1))</f>
        <v>NR</v>
      </c>
      <c r="J11" s="9" t="str">
        <f t="array" ref="J11">INDEX(STKWp!$K$11:$K$30,IFERROR(MATCH(MIN(IF(STKWp!$D$11:$D$30&gt;AVERAGE(B11,C11),STKWp!$D$11:$D$30)),STKWp!$D$11:$D$30),1))</f>
        <v>-I</v>
      </c>
      <c r="K11" s="9" t="str">
        <f t="array" ref="K11">INDEX(BSKW!$K$11:$K$30,IFERROR(MATCH(MIN(IF(BSKW!$D$11:$D$30&gt;AVERAGE(B11,C11),BSKW!$D$11:$D$30)),BSKW!$D$11:$D$30),1))</f>
        <v>D</v>
      </c>
      <c r="L11" s="12" t="str">
        <f t="array" ref="L11">INDEX(HTKW!$K$11:$K$30,IFERROR(MATCH(MIN(IF(HTKW!$D$11:$D$30&gt;AVERAGE(B11,C11),HTKW!$D$11:$D$30)),HTKW!$D$11:$D$30),1))</f>
        <v>-I</v>
      </c>
    </row>
    <row r="12" spans="2:12" x14ac:dyDescent="0.25">
      <c r="B12" s="8">
        <v>18</v>
      </c>
      <c r="C12" s="9">
        <v>20</v>
      </c>
      <c r="D12" s="23" t="str">
        <f t="shared" si="0"/>
        <v>-I</v>
      </c>
      <c r="E12" s="23" t="str">
        <f t="shared" si="1"/>
        <v>-I</v>
      </c>
      <c r="F12" s="9" t="str">
        <f t="array" ref="F12">INDEX(STPH!$O$11:$O$30,IFERROR(MATCH(MIN(IF(STPH!$D$11:$D$30&gt;AVERAGE(B12,C12),STPH!$D$11:$D$30)),STPH!$D$11:$D$30),1))</f>
        <v>+III</v>
      </c>
      <c r="G12" s="9" t="str">
        <f t="array" ref="G12">INDEX(STBI!$O$11:$O$30,IFERROR(MATCH(MIN(IF(STBI!$D$11:$D$30&gt;AVERAGE(B12,C12),STBI!$D$11:$D$30)),STBI!$D$11:$D$30),1))</f>
        <v>+III</v>
      </c>
      <c r="H12" s="9" t="str">
        <f t="array" ref="H12">INDEX(GEKB!$K$11:$K$30,IFERROR(MATCH(MIN(IF(GEKB!$D$11:$D$30&gt;AVERAGE(B12,C12),GEKB!$D$11:$D$30)),GEKB!$D$11:$D$30),1))</f>
        <v>NR</v>
      </c>
      <c r="I12" s="9" t="str">
        <f t="array" ref="I12">INDEX(DA!$K$11:$K$30,IFERROR(MATCH(MIN(IF(DA!$D$11:$D$30&gt;AVERAGE(B12,C12),DA!$D$11:$D$30)),DA!$D$11:$D$30),1))</f>
        <v>NR</v>
      </c>
      <c r="J12" s="9" t="str">
        <f t="array" ref="J12">INDEX(STKWp!$K$11:$K$30,IFERROR(MATCH(MIN(IF(STKWp!$D$11:$D$30&gt;AVERAGE(B12,C12),STKWp!$D$11:$D$30)),STKWp!$D$11:$D$30),1))</f>
        <v>+III</v>
      </c>
      <c r="K12" s="9" t="str">
        <f t="array" ref="K12">INDEX(BSKW!$K$11:$K$30,IFERROR(MATCH(MIN(IF(BSKW!$D$11:$D$30&gt;AVERAGE(B12,C12),BSKW!$D$11:$D$30)),BSKW!$D$11:$D$30),1))</f>
        <v>-I</v>
      </c>
      <c r="L12" s="12" t="str">
        <f t="array" ref="L12">INDEX(HTKW!$K$11:$K$30,IFERROR(MATCH(MIN(IF(HTKW!$D$11:$D$30&gt;AVERAGE(B12,C12),HTKW!$D$11:$D$30)),HTKW!$D$11:$D$30),1))</f>
        <v>-I</v>
      </c>
    </row>
    <row r="13" spans="2:12" x14ac:dyDescent="0.25">
      <c r="B13" s="8">
        <v>20</v>
      </c>
      <c r="C13" s="9">
        <v>22</v>
      </c>
      <c r="D13" s="23" t="str">
        <f t="shared" si="0"/>
        <v>-I</v>
      </c>
      <c r="E13" s="23" t="str">
        <f t="shared" si="1"/>
        <v>-I</v>
      </c>
      <c r="F13" s="9" t="str">
        <f t="array" ref="F13">INDEX(STPH!$O$11:$O$30,IFERROR(MATCH(MIN(IF(STPH!$D$11:$D$30&gt;AVERAGE(B13,C13),STPH!$D$11:$D$30)),STPH!$D$11:$D$30),1))</f>
        <v>-I</v>
      </c>
      <c r="G13" s="9" t="str">
        <f t="array" ref="G13">INDEX(STBI!$O$11:$O$30,IFERROR(MATCH(MIN(IF(STBI!$D$11:$D$30&gt;AVERAGE(B13,C13),STBI!$D$11:$D$30)),STBI!$D$11:$D$30),1))</f>
        <v>-I</v>
      </c>
      <c r="H13" s="9" t="str">
        <f t="array" ref="H13">INDEX(GEKB!$K$11:$K$30,IFERROR(MATCH(MIN(IF(GEKB!$D$11:$D$30&gt;AVERAGE(B13,C13),GEKB!$D$11:$D$30)),GEKB!$D$11:$D$30),1))</f>
        <v>NR</v>
      </c>
      <c r="I13" s="9" t="str">
        <f t="array" ref="I13">INDEX(DA!$K$11:$K$30,IFERROR(MATCH(MIN(IF(DA!$D$11:$D$30&gt;AVERAGE(B13,C13),DA!$D$11:$D$30)),DA!$D$11:$D$30),1))</f>
        <v>NR</v>
      </c>
      <c r="J13" s="9" t="str">
        <f t="array" ref="J13">INDEX(STKWp!$K$11:$K$30,IFERROR(MATCH(MIN(IF(STKWp!$D$11:$D$30&gt;AVERAGE(B13,C13),STKWp!$D$11:$D$30)),STKWp!$D$11:$D$30),1))</f>
        <v>+III</v>
      </c>
      <c r="K13" s="9" t="str">
        <f t="array" ref="K13">INDEX(BSKW!$K$11:$K$30,IFERROR(MATCH(MIN(IF(BSKW!$D$11:$D$30&gt;AVERAGE(B13,C13),BSKW!$D$11:$D$30)),BSKW!$D$11:$D$30),1))</f>
        <v>-I</v>
      </c>
      <c r="L13" s="12" t="str">
        <f t="array" ref="L13">INDEX(HTKW!$K$11:$K$30,IFERROR(MATCH(MIN(IF(HTKW!$D$11:$D$30&gt;AVERAGE(B13,C13),HTKW!$D$11:$D$30)),HTKW!$D$11:$D$30),1))</f>
        <v>-I</v>
      </c>
    </row>
    <row r="14" spans="2:12" x14ac:dyDescent="0.25">
      <c r="B14" s="8">
        <v>22</v>
      </c>
      <c r="C14" s="9">
        <v>24</v>
      </c>
      <c r="D14" s="23" t="str">
        <f t="shared" si="0"/>
        <v>-I</v>
      </c>
      <c r="E14" s="23" t="str">
        <f t="shared" si="1"/>
        <v>-I</v>
      </c>
      <c r="F14" s="9" t="str">
        <f t="array" ref="F14">INDEX(STPH!$O$11:$O$30,IFERROR(MATCH(MIN(IF(STPH!$D$11:$D$30&gt;AVERAGE(B14,C14),STPH!$D$11:$D$30)),STPH!$D$11:$D$30),1))</f>
        <v>-I</v>
      </c>
      <c r="G14" s="9" t="str">
        <f t="array" ref="G14">INDEX(STBI!$O$11:$O$30,IFERROR(MATCH(MIN(IF(STBI!$D$11:$D$30&gt;AVERAGE(B14,C14),STBI!$D$11:$D$30)),STBI!$D$11:$D$30),1))</f>
        <v>-I</v>
      </c>
      <c r="H14" s="9" t="str">
        <f t="array" ref="H14">INDEX(GEKB!$K$11:$K$30,IFERROR(MATCH(MIN(IF(GEKB!$D$11:$D$30&gt;AVERAGE(B14,C14),GEKB!$D$11:$D$30)),GEKB!$D$11:$D$30),1))</f>
        <v>NR</v>
      </c>
      <c r="I14" s="9" t="str">
        <f t="array" ref="I14">INDEX(DA!$K$11:$K$30,IFERROR(MATCH(MIN(IF(DA!$D$11:$D$30&gt;AVERAGE(B14,C14),DA!$D$11:$D$30)),DA!$D$11:$D$30),1))</f>
        <v>NR</v>
      </c>
      <c r="J14" s="9" t="str">
        <f t="array" ref="J14">INDEX(STKWp!$K$11:$K$30,IFERROR(MATCH(MIN(IF(STKWp!$D$11:$D$30&gt;AVERAGE(B14,C14),STKWp!$D$11:$D$30)),STKWp!$D$11:$D$30),1))</f>
        <v>NR</v>
      </c>
      <c r="K14" s="9" t="str">
        <f t="array" ref="K14">INDEX(BSKW!$K$11:$K$30,IFERROR(MATCH(MIN(IF(BSKW!$D$11:$D$30&gt;AVERAGE(B14,C14),BSKW!$D$11:$D$30)),BSKW!$D$11:$D$30),1))</f>
        <v>-I</v>
      </c>
      <c r="L14" s="12" t="str">
        <f t="array" ref="L14">INDEX(HTKW!$K$11:$K$30,IFERROR(MATCH(MIN(IF(HTKW!$D$11:$D$30&gt;AVERAGE(B14,C14),HTKW!$D$11:$D$30)),HTKW!$D$11:$D$30),1))</f>
        <v>-I</v>
      </c>
    </row>
    <row r="15" spans="2:12" x14ac:dyDescent="0.25">
      <c r="B15" s="8"/>
      <c r="C15" s="9"/>
      <c r="D15" s="23"/>
      <c r="E15" s="23"/>
      <c r="F15" s="9"/>
      <c r="G15" s="9"/>
      <c r="H15" s="9"/>
      <c r="I15" s="9"/>
      <c r="J15" s="9"/>
      <c r="K15" s="9"/>
      <c r="L15" s="12"/>
    </row>
    <row r="16" spans="2:12" ht="15.75" thickBot="1" x14ac:dyDescent="0.3">
      <c r="B16" s="13"/>
      <c r="C16" s="14"/>
      <c r="D16" s="24"/>
      <c r="E16" s="24"/>
      <c r="F16" s="14"/>
      <c r="G16" s="14"/>
      <c r="H16" s="14"/>
      <c r="I16" s="14"/>
      <c r="J16" s="14"/>
      <c r="K16" s="14"/>
      <c r="L16" s="17"/>
    </row>
    <row r="17" spans="2:3" x14ac:dyDescent="0.25">
      <c r="B17" s="9"/>
      <c r="C17" s="9"/>
    </row>
    <row r="18" spans="2:3" x14ac:dyDescent="0.25">
      <c r="C18" s="9"/>
    </row>
    <row r="19" spans="2:3" x14ac:dyDescent="0.25">
      <c r="C19" s="9"/>
    </row>
    <row r="20" spans="2:3" x14ac:dyDescent="0.25">
      <c r="C20" s="9"/>
    </row>
    <row r="21" spans="2:3" x14ac:dyDescent="0.25">
      <c r="C21" s="9"/>
    </row>
    <row r="22" spans="2:3" x14ac:dyDescent="0.25">
      <c r="C22" s="9"/>
    </row>
    <row r="23" spans="2:3" x14ac:dyDescent="0.25">
      <c r="C23" s="9"/>
    </row>
    <row r="24" spans="2:3" x14ac:dyDescent="0.25">
      <c r="C24" s="9"/>
    </row>
    <row r="25" spans="2:3" x14ac:dyDescent="0.25">
      <c r="C25" s="9"/>
    </row>
    <row r="26" spans="2:3" x14ac:dyDescent="0.25">
      <c r="C26" s="9"/>
    </row>
    <row r="27" spans="2:3" x14ac:dyDescent="0.25">
      <c r="C27" s="9"/>
    </row>
    <row r="28" spans="2:3" x14ac:dyDescent="0.25">
      <c r="C28" s="9"/>
    </row>
    <row r="29" spans="2:3" x14ac:dyDescent="0.25">
      <c r="C29" s="9"/>
    </row>
    <row r="30" spans="2:3" x14ac:dyDescent="0.25">
      <c r="C30" s="9"/>
    </row>
    <row r="31" spans="2:3" x14ac:dyDescent="0.25">
      <c r="C31" s="9"/>
    </row>
    <row r="32" spans="2:3" x14ac:dyDescent="0.25">
      <c r="C32" s="9"/>
    </row>
    <row r="33" spans="3:3" ht="15.75" thickBot="1" x14ac:dyDescent="0.3">
      <c r="C33" s="9"/>
    </row>
    <row r="34" spans="3:3" x14ac:dyDescent="0.25">
      <c r="C34" s="4"/>
    </row>
    <row r="35" spans="3:3" x14ac:dyDescent="0.25">
      <c r="C35" s="9"/>
    </row>
    <row r="36" spans="3:3" x14ac:dyDescent="0.25">
      <c r="C36" s="9"/>
    </row>
    <row r="37" spans="3:3" x14ac:dyDescent="0.25">
      <c r="C37" s="9"/>
    </row>
    <row r="38" spans="3:3" x14ac:dyDescent="0.25">
      <c r="C38" s="9"/>
    </row>
    <row r="39" spans="3:3" x14ac:dyDescent="0.25">
      <c r="C39" s="9"/>
    </row>
    <row r="40" spans="3:3" x14ac:dyDescent="0.25">
      <c r="C40" s="9"/>
    </row>
    <row r="41" spans="3:3" x14ac:dyDescent="0.25">
      <c r="C41" s="9"/>
    </row>
    <row r="42" spans="3:3" x14ac:dyDescent="0.25">
      <c r="C42" s="9"/>
    </row>
    <row r="43" spans="3:3" x14ac:dyDescent="0.25">
      <c r="C43" s="9"/>
    </row>
    <row r="44" spans="3:3" x14ac:dyDescent="0.25">
      <c r="C44" s="9"/>
    </row>
    <row r="45" spans="3:3" x14ac:dyDescent="0.25">
      <c r="C45" s="9"/>
    </row>
  </sheetData>
  <sortState xmlns:xlrd2="http://schemas.microsoft.com/office/spreadsheetml/2017/richdata2" ref="B2:C46">
    <sortCondition ref="B2:B46"/>
  </sortState>
  <pageMargins left="0.7" right="0.7" top="0.75" bottom="0.75" header="0.3" footer="0.3"/>
  <pageSetup paperSize="9"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Informatiepagina</vt:lpstr>
      <vt:lpstr>Normen en duidingsklassen</vt:lpstr>
      <vt:lpstr>STPH</vt:lpstr>
      <vt:lpstr>STBI</vt:lpstr>
      <vt:lpstr>GEKB</vt:lpstr>
      <vt:lpstr>DA</vt:lpstr>
      <vt:lpstr>STKWp</vt:lpstr>
      <vt:lpstr>BSKW</vt:lpstr>
      <vt:lpstr>HTKW</vt:lpstr>
      <vt:lpstr>Veiligheidsoordeel</vt:lpstr>
      <vt:lpstr>Gecombineerd vakoordeel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van Geer</dc:creator>
  <cp:lastModifiedBy>Pieter van Geer</cp:lastModifiedBy>
  <dcterms:created xsi:type="dcterms:W3CDTF">2021-11-12T08:56:24Z</dcterms:created>
  <dcterms:modified xsi:type="dcterms:W3CDTF">2022-03-09T11:25:14Z</dcterms:modified>
</cp:coreProperties>
</file>