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B90764ED-06FC-413A-B425-7F43B19B25DB}" xr6:coauthVersionLast="41" xr6:coauthVersionMax="41" xr10:uidLastSave="{00000000-0000-0000-0000-000000000000}"/>
  <bookViews>
    <workbookView xWindow="-120" yWindow="-120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8" l="1"/>
  <c r="D11" i="8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K19" i="9" l="1"/>
  <c r="K18" i="9"/>
  <c r="K17" i="9"/>
  <c r="K16" i="9"/>
  <c r="K15" i="9"/>
  <c r="K14" i="9"/>
  <c r="K13" i="9"/>
  <c r="K12" i="9"/>
  <c r="K11" i="9"/>
  <c r="K19" i="14"/>
  <c r="K18" i="14"/>
  <c r="K17" i="14"/>
  <c r="K16" i="14"/>
  <c r="K15" i="14"/>
  <c r="K14" i="14"/>
  <c r="K13" i="14"/>
  <c r="K12" i="14"/>
  <c r="K11" i="14"/>
  <c r="K19" i="10"/>
  <c r="K18" i="10"/>
  <c r="K17" i="10"/>
  <c r="K16" i="10"/>
  <c r="K15" i="10"/>
  <c r="K14" i="10"/>
  <c r="K13" i="10"/>
  <c r="K12" i="10"/>
  <c r="K11" i="10"/>
  <c r="K11" i="6"/>
  <c r="K14" i="5"/>
  <c r="K13" i="5"/>
  <c r="K12" i="5"/>
  <c r="K11" i="5"/>
  <c r="O14" i="3"/>
  <c r="O13" i="3"/>
  <c r="O12" i="3"/>
  <c r="O11" i="3"/>
  <c r="O14" i="2"/>
  <c r="O13" i="2"/>
  <c r="O12" i="2"/>
  <c r="O11" i="2"/>
  <c r="E17" i="13" l="1"/>
  <c r="E18" i="13" l="1"/>
  <c r="E16" i="13"/>
  <c r="E15" i="13"/>
  <c r="E14" i="13"/>
  <c r="E13" i="13"/>
  <c r="J14" i="5" l="1"/>
  <c r="J12" i="5"/>
  <c r="J11" i="5"/>
  <c r="J13" i="5"/>
  <c r="O13" i="5" l="1"/>
  <c r="P13" i="5" s="1"/>
  <c r="T14" i="5"/>
  <c r="Q14" i="5" a="1"/>
  <c r="Q14" i="5" s="1"/>
  <c r="R14" i="5" s="1"/>
  <c r="S14" i="5" s="1"/>
  <c r="O14" i="5"/>
  <c r="P14" i="5" s="1"/>
  <c r="M14" i="5"/>
  <c r="N14" i="5" s="1"/>
  <c r="T13" i="5"/>
  <c r="Q13" i="5" a="1"/>
  <c r="Q13" i="5" s="1"/>
  <c r="R13" i="5" s="1"/>
  <c r="S13" i="5" s="1"/>
  <c r="T12" i="5"/>
  <c r="Q12" i="5" a="1"/>
  <c r="Q12" i="5" s="1"/>
  <c r="R12" i="5" s="1"/>
  <c r="S12" i="5" s="1"/>
  <c r="O12" i="5"/>
  <c r="P12" i="5" s="1"/>
  <c r="M12" i="5"/>
  <c r="N12" i="5" s="1"/>
  <c r="M13" i="5" l="1"/>
  <c r="N13" i="5" s="1"/>
  <c r="B4" i="13" l="1"/>
  <c r="B3" i="13"/>
  <c r="J19" i="9" l="1"/>
  <c r="J18" i="9"/>
  <c r="J17" i="9"/>
  <c r="J16" i="9"/>
  <c r="J15" i="9"/>
  <c r="J14" i="9"/>
  <c r="J13" i="9"/>
  <c r="J12" i="9"/>
  <c r="J11" i="9"/>
  <c r="J19" i="10"/>
  <c r="J18" i="10"/>
  <c r="J17" i="10"/>
  <c r="J16" i="10"/>
  <c r="J15" i="10"/>
  <c r="J14" i="10"/>
  <c r="J13" i="10"/>
  <c r="J12" i="10"/>
  <c r="J11" i="10"/>
  <c r="J18" i="14"/>
  <c r="J17" i="14"/>
  <c r="J16" i="14"/>
  <c r="J15" i="14"/>
  <c r="J14" i="14"/>
  <c r="J13" i="14"/>
  <c r="J12" i="14"/>
  <c r="J11" i="14"/>
  <c r="J19" i="14"/>
  <c r="M14" i="2" l="1"/>
  <c r="L14" i="2"/>
  <c r="M13" i="2"/>
  <c r="L13" i="2"/>
  <c r="M12" i="2"/>
  <c r="L12" i="2"/>
  <c r="M11" i="2"/>
  <c r="L11" i="2"/>
  <c r="M14" i="3"/>
  <c r="L14" i="3"/>
  <c r="M13" i="3"/>
  <c r="L13" i="3"/>
  <c r="M12" i="3"/>
  <c r="L12" i="3"/>
  <c r="M11" i="3"/>
  <c r="L11" i="3"/>
  <c r="E7" i="13"/>
  <c r="T19" i="14" l="1"/>
  <c r="T18" i="14"/>
  <c r="M18" i="14"/>
  <c r="T17" i="14"/>
  <c r="O17" i="14"/>
  <c r="P17" i="14" s="1"/>
  <c r="M17" i="14"/>
  <c r="T16" i="14"/>
  <c r="O16" i="14"/>
  <c r="P16" i="14" s="1"/>
  <c r="T15" i="14"/>
  <c r="O15" i="14"/>
  <c r="T14" i="14"/>
  <c r="T13" i="14"/>
  <c r="M13" i="14"/>
  <c r="T12" i="14"/>
  <c r="O12" i="14"/>
  <c r="T11" i="14"/>
  <c r="O11" i="14"/>
  <c r="P11" i="14" s="1"/>
  <c r="M11" i="14"/>
  <c r="N11" i="14" s="1"/>
  <c r="M13" i="9"/>
  <c r="N13" i="9" s="1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O13" i="10"/>
  <c r="O19" i="10"/>
  <c r="M13" i="10"/>
  <c r="T13" i="10"/>
  <c r="T14" i="10"/>
  <c r="T15" i="10"/>
  <c r="T16" i="10"/>
  <c r="M17" i="10"/>
  <c r="O17" i="10"/>
  <c r="T17" i="10"/>
  <c r="T18" i="10"/>
  <c r="T19" i="10"/>
  <c r="M15" i="14" l="1"/>
  <c r="N15" i="14" s="1"/>
  <c r="M19" i="14"/>
  <c r="N19" i="14" s="1"/>
  <c r="O13" i="14"/>
  <c r="P13" i="14" s="1"/>
  <c r="O19" i="14"/>
  <c r="P19" i="14" s="1"/>
  <c r="M19" i="10"/>
  <c r="N19" i="10" s="1"/>
  <c r="O15" i="10"/>
  <c r="P15" i="10" s="1"/>
  <c r="M15" i="10"/>
  <c r="N15" i="10" s="1"/>
  <c r="P19" i="10"/>
  <c r="N17" i="10"/>
  <c r="P17" i="10"/>
  <c r="P13" i="10"/>
  <c r="N13" i="10"/>
  <c r="M14" i="14"/>
  <c r="N14" i="14" s="1"/>
  <c r="O14" i="14"/>
  <c r="P14" i="14" s="1"/>
  <c r="M12" i="14"/>
  <c r="N17" i="14"/>
  <c r="P12" i="14"/>
  <c r="N18" i="14"/>
  <c r="N13" i="14"/>
  <c r="P15" i="14"/>
  <c r="M16" i="14"/>
  <c r="N16" i="14" s="1"/>
  <c r="O18" i="14"/>
  <c r="P18" i="14" s="1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N12" i="14"/>
  <c r="C7" i="14" l="1"/>
  <c r="C6" i="14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O11" i="5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4" i="3"/>
  <c r="S14" i="3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T14" i="3"/>
  <c r="Q11" i="3"/>
  <c r="S11" i="3"/>
  <c r="S12" i="2"/>
  <c r="Q19" i="9" l="1" a="1"/>
  <c r="Q19" i="9" s="1"/>
  <c r="R19" i="9" s="1"/>
  <c r="S19" i="9" s="1"/>
  <c r="Q11" i="9" a="1"/>
  <c r="Q11" i="9" s="1"/>
  <c r="R11" i="9" s="1"/>
  <c r="S11" i="9" s="1"/>
  <c r="Q16" i="10" a="1"/>
  <c r="Q16" i="10" s="1"/>
  <c r="R16" i="10" s="1"/>
  <c r="S16" i="10" s="1"/>
  <c r="Q18" i="9" a="1"/>
  <c r="Q18" i="9" s="1"/>
  <c r="R18" i="9" s="1"/>
  <c r="S18" i="9" s="1"/>
  <c r="Q17" i="10" a="1"/>
  <c r="Q17" i="10" s="1"/>
  <c r="R17" i="10" s="1"/>
  <c r="S17" i="10" s="1"/>
  <c r="Q13" i="9" a="1"/>
  <c r="Q13" i="9" s="1"/>
  <c r="R13" i="9" s="1"/>
  <c r="S13" i="9" s="1"/>
  <c r="Q17" i="9" a="1"/>
  <c r="Q17" i="9" s="1"/>
  <c r="R17" i="9" s="1"/>
  <c r="S17" i="9" s="1"/>
  <c r="Q16" i="9" a="1"/>
  <c r="Q16" i="9" s="1"/>
  <c r="R16" i="9" s="1"/>
  <c r="S16" i="9" s="1"/>
  <c r="Q14" i="10" a="1"/>
  <c r="Q14" i="10" s="1"/>
  <c r="R14" i="10" s="1"/>
  <c r="S14" i="10" s="1"/>
  <c r="Q15" i="9" a="1"/>
  <c r="Q15" i="9" s="1"/>
  <c r="R15" i="9" s="1"/>
  <c r="S15" i="9" s="1"/>
  <c r="Q12" i="10" a="1"/>
  <c r="Q12" i="10" s="1"/>
  <c r="R12" i="10" s="1"/>
  <c r="S12" i="10" s="1"/>
  <c r="Q14" i="9" a="1"/>
  <c r="Q14" i="9" s="1"/>
  <c r="R14" i="9" s="1"/>
  <c r="S14" i="9" s="1"/>
  <c r="Q11" i="10" a="1"/>
  <c r="Q11" i="10" s="1"/>
  <c r="R11" i="10" s="1"/>
  <c r="S11" i="10" s="1"/>
  <c r="Q12" i="9" a="1"/>
  <c r="Q12" i="9" s="1"/>
  <c r="R12" i="9" s="1"/>
  <c r="S12" i="9" s="1"/>
  <c r="Q19" i="10" a="1"/>
  <c r="Q19" i="10" s="1"/>
  <c r="R19" i="10" s="1"/>
  <c r="S19" i="10" s="1"/>
  <c r="Q18" i="10" a="1"/>
  <c r="Q18" i="10" s="1"/>
  <c r="R18" i="10" s="1"/>
  <c r="S18" i="10" s="1"/>
  <c r="Q13" i="10" a="1"/>
  <c r="Q13" i="10" s="1"/>
  <c r="R13" i="10" s="1"/>
  <c r="S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U14" i="3" a="1"/>
  <c r="U14" i="3" s="1"/>
  <c r="V14" i="3" s="1"/>
  <c r="W14" i="3" s="1"/>
  <c r="Q15" i="10" a="1"/>
  <c r="Q15" i="10" s="1"/>
  <c r="R15" i="10" s="1"/>
  <c r="S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Q13" i="14" a="1"/>
  <c r="Q13" i="14" s="1"/>
  <c r="R13" i="14" s="1"/>
  <c r="S13" i="14" s="1"/>
  <c r="Q11" i="14" a="1"/>
  <c r="Q11" i="14" s="1"/>
  <c r="R11" i="14" s="1"/>
  <c r="S11" i="14" s="1"/>
  <c r="Q18" i="14" a="1"/>
  <c r="Q18" i="14" s="1"/>
  <c r="R18" i="14" s="1"/>
  <c r="S18" i="14" s="1"/>
  <c r="Q19" i="14" a="1"/>
  <c r="Q19" i="14" s="1"/>
  <c r="R19" i="14" s="1"/>
  <c r="S19" i="14" s="1"/>
  <c r="Q12" i="14" a="1"/>
  <c r="Q12" i="14" s="1"/>
  <c r="R12" i="14" s="1"/>
  <c r="S12" i="14" s="1"/>
  <c r="Q17" i="14" a="1"/>
  <c r="Q17" i="14" s="1"/>
  <c r="R17" i="14" s="1"/>
  <c r="S17" i="14" s="1"/>
  <c r="Q16" i="14" a="1"/>
  <c r="Q16" i="14" s="1"/>
  <c r="R16" i="14" s="1"/>
  <c r="S16" i="14" s="1"/>
  <c r="Q15" i="14" a="1"/>
  <c r="Q15" i="14" s="1"/>
  <c r="R15" i="14" s="1"/>
  <c r="S15" i="14" s="1"/>
  <c r="Q14" i="14" a="1"/>
  <c r="Q14" i="14" s="1"/>
  <c r="R14" i="14" s="1"/>
  <c r="S14" i="14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4" i="3"/>
  <c r="R14" i="3" s="1"/>
  <c r="N14" i="3"/>
  <c r="Q13" i="3"/>
  <c r="R13" i="3" s="1"/>
  <c r="N11" i="3"/>
  <c r="T11" i="3"/>
  <c r="R11" i="3"/>
  <c r="N13" i="3"/>
  <c r="Q12" i="2"/>
  <c r="R12" i="2" s="1"/>
  <c r="T12" i="2"/>
  <c r="S13" i="2"/>
  <c r="S14" i="2"/>
  <c r="X11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W12" i="2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C7" i="3" l="1"/>
  <c r="C5" i="3"/>
  <c r="C8" i="7" s="1"/>
  <c r="G8" i="7" s="1"/>
  <c r="C6" i="3"/>
  <c r="D8" i="7" s="1"/>
  <c r="H8" i="7" s="1"/>
  <c r="W13" i="2"/>
  <c r="W14" i="2"/>
  <c r="Q11" i="2"/>
  <c r="T11" i="2"/>
  <c r="N11" i="2"/>
  <c r="C5" i="2" l="1"/>
  <c r="C7" i="7" s="1"/>
  <c r="R11" i="2"/>
  <c r="G7" i="7" l="1"/>
  <c r="D2" i="7" s="1"/>
  <c r="G2" i="7" s="1" a="1"/>
  <c r="G2" i="7" s="1"/>
  <c r="H2" i="7" s="1"/>
  <c r="E2" i="7" s="1"/>
  <c r="W11" i="2"/>
  <c r="C6" i="2"/>
  <c r="D7" i="7" s="1"/>
  <c r="H7" i="7" s="1"/>
  <c r="C7" i="2"/>
  <c r="H7" i="8" l="1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<sst xmlns="http://schemas.openxmlformats.org/spreadsheetml/2006/main" count="461" uniqueCount="108">
  <si>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</si>
  <si>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</si>
  <si>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</si>
  <si>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</si>
  <si>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</si>
  <si>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</si>
  <si>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</si>
  <si>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</si>
  <si>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</si>
  <si>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</si>
  <si>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</si>
  <si>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</si>
  <si>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</si>
  <si>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</si>
  <si>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</si>
  <si>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</si>
  <si>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</si>
  <si>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</si>
  <si>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</si>
  <si>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</si>
  <si>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</si>
  <si>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</si>
  <si>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</si>
  <si>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</si>
  <si>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</si>
  <si>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</si>
  <si>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</si>
  <si>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</si>
  <si>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</si>
  <si>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</si>
  <si>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</si>
  <si>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</si>
  <si>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</si>
  <si>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</si>
  <si>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</si>
  <si>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</si>
  <si>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</si>
  <si>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</si>
  <si>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</si>
  <si>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</si>
  <si>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</si>
  <si>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</si>
  <si>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</si>
  <si>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</si>
  <si>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</si>
  <si>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</si>
  <si>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</si>
  <si>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</si>
  <si>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</si>
  <si>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</si>
  <si>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</si>
  <si>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</si>
  <si>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</si>
  <si>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</si>
  <si>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</si>
  <si>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</si>
  <si>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</si>
  <si>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</si>
  <si>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</si>
  <si>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</si>
  <si>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</si>
  <si>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</si>
  <si>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</si>
  <si>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</si>
  <si>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</si>
  <si>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</si>
  <si>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</si>
  <si>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</si>
  <si>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</si>
  <si>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</si>
  <si>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</si>
  <si>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</si>
  <si>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</si>
  <si>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</si>
  <si>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</si>
  <si>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</si>
  <si>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</si>
  <si>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</si>
  <si>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</si>
  <si>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</si>
  <si>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</si>
  <si>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</si>
  <si>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</si>
  <si>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</si>
  <si>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</si>
  <si>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</si>
  <si>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</si>
  <si>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</si>
  <si>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</si>
  <si>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</si>
  <si>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</si>
  <si>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</si>
  <si>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</si>
  <si>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</si>
  <si>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</si>
  <si>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</si>
  <si>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</si>
  <si>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</si>
  <si>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</si>
  <si>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</si>
  <si>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</si>
  <si>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</si>
  <si>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</si>
  <si>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Je</t>
  </si>
  <si>
    <t>30-4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</si>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</sst>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104</v>
      </c>
      <c r="D2" s="2" t="s">
        <v>37</v>
      </c>
    </row>
    <row r="3" spans="1:6" ht="15.75" thickBot="1" x14ac:dyDescent="0.3">
      <c r="A3" t="s">
        <v>28</v>
      </c>
      <c r="B3" s="1">
        <f>1/1000000</f>
        <v>9.9999999999999995E-7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1/1000000</f>
        <v>9.9999999999999995E-7</v>
      </c>
      <c r="D4" s="63" t="s">
        <v>30</v>
      </c>
      <c r="E4" s="5">
        <f>1/30*B3</f>
        <v>3.3333333333333334E-8</v>
      </c>
      <c r="F4" s="25">
        <v>0</v>
      </c>
    </row>
    <row r="5" spans="1:6" x14ac:dyDescent="0.25">
      <c r="A5" t="s">
        <v>105</v>
      </c>
      <c r="B5" s="9">
        <v>2.0680000000000001</v>
      </c>
      <c r="D5" s="64" t="s">
        <v>31</v>
      </c>
      <c r="E5" s="10">
        <f>B3</f>
        <v>9.9999999999999995E-7</v>
      </c>
      <c r="F5" s="26">
        <f>E4</f>
        <v>3.3333333333333334E-8</v>
      </c>
    </row>
    <row r="6" spans="1:6" x14ac:dyDescent="0.25">
      <c r="D6" s="65" t="s">
        <v>32</v>
      </c>
      <c r="E6" s="10">
        <f>B4</f>
        <v>9.9999999999999995E-7</v>
      </c>
      <c r="F6" s="26">
        <f>E5</f>
        <v>9.9999999999999995E-7</v>
      </c>
    </row>
    <row r="7" spans="1:6" x14ac:dyDescent="0.25">
      <c r="D7" s="66" t="s">
        <v>33</v>
      </c>
      <c r="E7" s="10">
        <f>MIN(1,30*B4)</f>
        <v>2.9999999999999997E-5</v>
      </c>
      <c r="F7" s="26">
        <f>E6</f>
        <v>9.9999999999999995E-7</v>
      </c>
    </row>
    <row r="8" spans="1:6" ht="15.75" thickBot="1" x14ac:dyDescent="0.3">
      <c r="D8" s="67" t="s">
        <v>34</v>
      </c>
      <c r="E8" s="15">
        <v>1</v>
      </c>
      <c r="F8" s="27">
        <f>E7</f>
        <v>2.9999999999999997E-5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1.0000000000000001E-9</v>
      </c>
    </row>
    <row r="14" spans="1:6" x14ac:dyDescent="0.25">
      <c r="D14" s="56" t="s">
        <v>52</v>
      </c>
      <c r="E14" s="26">
        <f>1/100*B3</f>
        <v>1E-8</v>
      </c>
    </row>
    <row r="15" spans="1:6" x14ac:dyDescent="0.25">
      <c r="D15" s="57" t="s">
        <v>53</v>
      </c>
      <c r="E15" s="26">
        <f>1/10*B3</f>
        <v>9.9999999999999995E-8</v>
      </c>
    </row>
    <row r="16" spans="1:6" x14ac:dyDescent="0.25">
      <c r="D16" s="58" t="s">
        <v>54</v>
      </c>
      <c r="E16" s="26">
        <f>B3</f>
        <v>9.9999999999999995E-7</v>
      </c>
    </row>
    <row r="17" spans="2:5" x14ac:dyDescent="0.25">
      <c r="D17" s="59" t="s">
        <v>55</v>
      </c>
      <c r="E17" s="26">
        <f>B4</f>
        <v>9.9999999999999995E-7</v>
      </c>
    </row>
    <row r="18" spans="2:5" x14ac:dyDescent="0.25">
      <c r="D18" s="60" t="s">
        <v>56</v>
      </c>
      <c r="E18" s="26">
        <f>10*B4</f>
        <v>9.9999999999999991E-6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O11" sqref="O11:O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106</v>
      </c>
      <c r="C4" s="12" t="s">
        <v>17</v>
      </c>
    </row>
    <row r="5" spans="2:25" x14ac:dyDescent="0.25">
      <c r="B5" s="40" t="s">
        <v>44</v>
      </c>
      <c r="C5" s="26" t="str">
        <f>IFERROR(MIN(1-PRODUCT(Q11:Q30),MAX(S11:S30)),"GR")</f>
        <v>GR</v>
      </c>
    </row>
    <row r="6" spans="2:25" x14ac:dyDescent="0.25">
      <c r="B6" s="40" t="s">
        <v>38</v>
      </c>
      <c r="C6" s="26">
        <f>MIN(1-PRODUCT(R11:R30),MAX(T11:T30))</f>
        <v>2.1279180495437089E-7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21</v>
      </c>
      <c r="G11" s="5">
        <v>6.3875088715400993E-8</v>
      </c>
      <c r="H11" s="25">
        <v>1.0645848119233497E-7</v>
      </c>
      <c r="I11" s="3" t="s">
        <v>18</v>
      </c>
      <c r="J11" s="5"/>
      <c r="K11" s="25"/>
      <c r="L11" s="29">
        <f t="shared" ref="L11:L14" si="0">IF($E11="Nee",0,IF(I11="Ja",IF(ISNUMBER(J11),J11,"-"),IF(ISNUMBER(G11),G11,"-")))</f>
        <v>6.3875088715400993E-8</v>
      </c>
      <c r="M11" s="5">
        <f t="shared" ref="M11:M14" si="1">IF($E11="Nee",0,IF(I11="Ja",IF(ISNUMBER(K11),K11,"-"),IF(ISNUMBER(H11),H11,"-")))</f>
        <v>1.0645848119233497E-7</v>
      </c>
      <c r="N11" s="6">
        <f t="shared" ref="N11:N14" si="2">IF(ISNUMBER(L11),IF(M11=0,1,M11/L11),"-")</f>
        <v>1.6666666666666665</v>
      </c>
      <c r="O11" s="30" t="str">
        <f>IF(E11="Nee","NR",IF(ISNUMBER($M11),W11,IF($X11,"D","ND")))</f>
        <v>+0</v>
      </c>
      <c r="Q11" s="31">
        <f t="shared" ref="Q11:Q14" si="3">IF(AND(F11="Geen faalkans",I11="Nee"),1,1-M11)</f>
        <v>0.99999989354151886</v>
      </c>
      <c r="R11" s="10">
        <f>IF(M11="-",1,Q11)</f>
        <v>0.99999989354151886</v>
      </c>
      <c r="S11" s="10">
        <f t="shared" ref="S11:S14" si="4">IF(AND(F11="Geen faalkans",I11="Nee"),0,L11*$C$3)</f>
        <v>1.8459900638750886E-6</v>
      </c>
      <c r="T11" s="10">
        <f>IF(L11="-",0,S11)</f>
        <v>1.8459900638750886E-6</v>
      </c>
      <c r="U11" s="9">
        <f t="array" ref="U11">MIN(IF('Normen en duidingsklassen'!$E$13:$E$20&gt;=$M11,'Normen en duidingsklassen'!$E$13:$E$20))</f>
        <v>9.9999999999999995E-7</v>
      </c>
      <c r="V11" s="9">
        <f>IFERROR(MATCH($U11,'Normen en duidingsklassen'!$E$13:$E$20,),1)</f>
        <v>4</v>
      </c>
      <c r="W11" s="9" t="str">
        <f>INDEX('Normen en duidingsklassen'!$D$13:$D$20,STPH!V11)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0.5</v>
      </c>
      <c r="D12" s="9">
        <v>1</v>
      </c>
      <c r="E12" s="23" t="s">
        <v>17</v>
      </c>
      <c r="F12" s="8" t="s">
        <v>21</v>
      </c>
      <c r="G12" s="10">
        <v>6.3800000000000002E-8</v>
      </c>
      <c r="H12" s="26">
        <v>1.0633333333333333E-7</v>
      </c>
      <c r="I12" s="8" t="s">
        <v>18</v>
      </c>
      <c r="J12" s="10"/>
      <c r="K12" s="26"/>
      <c r="L12" s="31">
        <f t="shared" si="0"/>
        <v>6.3800000000000002E-8</v>
      </c>
      <c r="M12" s="10">
        <f t="shared" si="1"/>
        <v>1.0633333333333333E-7</v>
      </c>
      <c r="N12" s="11">
        <f t="shared" si="2"/>
        <v>1.6666666666666665</v>
      </c>
      <c r="O12" s="32" t="str">
        <f>IF(E12="Nee","NR",IF(ISNUMBER($M12),W12,IF($X12,"D","ND")))</f>
        <v>+0</v>
      </c>
      <c r="Q12" s="31">
        <f t="shared" si="3"/>
        <v>0.99999989366666664</v>
      </c>
      <c r="R12" s="10">
        <f t="shared" ref="R12:R14" si="5">IF(M12="-",1,Q12)</f>
        <v>0.99999989366666664</v>
      </c>
      <c r="S12" s="10">
        <f t="shared" si="4"/>
        <v>1.8438199999999999E-6</v>
      </c>
      <c r="T12" s="10">
        <f t="shared" ref="T12:T14" si="6">IF(L12="-",0,S12)</f>
        <v>1.8438199999999999E-6</v>
      </c>
      <c r="U12" s="9">
        <f t="array" ref="U12">MIN(IF('Normen en duidingsklassen'!$E$13:$E$20&gt;=$M12,'Normen en duidingsklassen'!$E$13:$E$20))</f>
        <v>9.9999999999999995E-7</v>
      </c>
      <c r="V12" s="9">
        <f>IFERROR(MATCH($U12,'Normen en duidingsklassen'!$E$13:$E$20,),1)</f>
        <v>4</v>
      </c>
      <c r="W12" s="9" t="str">
        <f>INDEX('Normen en duidingsklassen'!$D$13:$D$20,STPH!V12)</f>
        <v>+0</v>
      </c>
      <c r="X12" s="12" t="b">
        <f t="shared" ref="X12:X14" si="7">IF($E12="Ja",IF($I12="Ja",NOT(ISNUMBER($J12)),FALSE),FALSE)</f>
        <v>0</v>
      </c>
    </row>
    <row r="13" spans="2:25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21</v>
      </c>
      <c r="G13" s="10">
        <v>2.9999999999999997E-5</v>
      </c>
      <c r="H13" s="26">
        <v>1.0633333333333333E-7</v>
      </c>
      <c r="I13" s="8" t="s">
        <v>17</v>
      </c>
      <c r="J13" s="10"/>
      <c r="K13" s="26"/>
      <c r="L13" s="31" t="str">
        <f t="shared" si="0"/>
        <v>-</v>
      </c>
      <c r="M13" s="10" t="str">
        <f t="shared" si="1"/>
        <v>-</v>
      </c>
      <c r="N13" s="11" t="str">
        <f t="shared" si="2"/>
        <v>-</v>
      </c>
      <c r="O13" s="32" t="str">
        <f>IF(E13="Nee","NR",IF(ISNUMBER($M13),W13,IF($X13,"D","ND")))</f>
        <v>D</v>
      </c>
      <c r="Q13" s="31" t="e">
        <f t="shared" si="3"/>
        <v>#VALUE!</v>
      </c>
      <c r="R13" s="10">
        <f t="shared" si="5"/>
        <v>1</v>
      </c>
      <c r="S13" s="10" t="e">
        <f t="shared" si="4"/>
        <v>#VALUE!</v>
      </c>
      <c r="T13" s="10">
        <f t="shared" si="6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7"/>
        <v>1</v>
      </c>
    </row>
    <row r="14" spans="2:25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21</v>
      </c>
      <c r="G14" s="10">
        <v>1.0000000000000001E-15</v>
      </c>
      <c r="H14" s="26">
        <v>1.7573333333333336E-15</v>
      </c>
      <c r="I14" s="8" t="s">
        <v>18</v>
      </c>
      <c r="J14" s="10"/>
      <c r="K14" s="26"/>
      <c r="L14" s="31">
        <f t="shared" si="0"/>
        <v>1.0000000000000001E-15</v>
      </c>
      <c r="M14" s="10">
        <f t="shared" si="1"/>
        <v>1.7573333333333336E-15</v>
      </c>
      <c r="N14" s="11">
        <f t="shared" si="2"/>
        <v>1.7573333333333334</v>
      </c>
      <c r="O14" s="32" t="str">
        <f>IF(E14="Nee","NR",IF(ISNUMBER($M14),W14,IF($X14,"D","ND")))</f>
        <v>+III</v>
      </c>
      <c r="Q14" s="31">
        <f t="shared" si="3"/>
        <v>0.99999999999999822</v>
      </c>
      <c r="R14" s="10">
        <f t="shared" si="5"/>
        <v>0.99999999999999822</v>
      </c>
      <c r="S14" s="10">
        <f t="shared" si="4"/>
        <v>2.8900000000000002E-14</v>
      </c>
      <c r="T14" s="10">
        <f t="shared" si="6"/>
        <v>2.8900000000000002E-14</v>
      </c>
      <c r="U14" s="9">
        <f t="array" ref="U14">MIN(IF('Normen en duidingsklassen'!$E$13:$E$20&gt;=$M14,'Normen en duidingsklassen'!$E$13:$E$20))</f>
        <v>1.0000000000000001E-9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O11" sqref="O11:O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106</v>
      </c>
      <c r="C4" s="12" t="s">
        <v>17</v>
      </c>
    </row>
    <row r="5" spans="2:25" x14ac:dyDescent="0.25">
      <c r="B5" s="40" t="s">
        <v>44</v>
      </c>
      <c r="C5" s="26" t="str">
        <f>IFERROR(MIN(1-PRODUCT(Q11:Q30),MAX(S11:S30)),"GR")</f>
        <v>GR</v>
      </c>
    </row>
    <row r="6" spans="2:25" x14ac:dyDescent="0.25">
      <c r="B6" s="40" t="s">
        <v>38</v>
      </c>
      <c r="C6" s="26">
        <f>MIN(1-PRODUCT(R11:R30),MAX(T11:T30))</f>
        <v>4.5997963771249317E-8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21</v>
      </c>
      <c r="G11" s="5">
        <v>1E-10</v>
      </c>
      <c r="H11" s="25">
        <v>1.3300000000000001E-10</v>
      </c>
      <c r="I11" s="3" t="s">
        <v>18</v>
      </c>
      <c r="J11" s="5"/>
      <c r="K11" s="25"/>
      <c r="L11" s="29">
        <f t="shared" ref="L11:L14" si="0">IF($E11="Nee",0,IF(I11="Ja",IF(ISNUMBER(J11),J11,"-"),IF(ISNUMBER(G11),G11,"-")))</f>
        <v>1E-10</v>
      </c>
      <c r="M11" s="5">
        <f t="shared" ref="M11:M14" si="1">IF($E11="Nee",0,IF(I11="Ja",IF(ISNUMBER(K11),K11,"-"),IF(ISNUMBER(H11),H11,"-")))</f>
        <v>1.3300000000000001E-10</v>
      </c>
      <c r="N11" s="6">
        <f t="shared" ref="N11:N14" si="2">IF(ISNUMBER(L11),IF(M11=0,1,M11/L11),"-")</f>
        <v>1.33</v>
      </c>
      <c r="O11" s="30" t="str">
        <f>IF(E11="Nee","NR",IF(ISNUMBER($M11),W11,IF($X11,"D","ND")))</f>
        <v>+III</v>
      </c>
      <c r="Q11" s="31">
        <f t="shared" ref="Q11:Q14" si="3">IF(AND(F11="Geen faalkans",I11="Nee"),1,1-M11)</f>
        <v>0.99999999986699994</v>
      </c>
      <c r="R11" s="10">
        <f>IF(M11="-",1,Q11)</f>
        <v>0.99999999986699994</v>
      </c>
      <c r="S11" s="10">
        <f t="shared" ref="S11:S14" si="4">IF(AND(F11="Geen faalkans",I11="Nee"),0,L11*$C$3)</f>
        <v>1.4800000000000001E-9</v>
      </c>
      <c r="T11" s="10">
        <f>IF(L11="-",0,S11)</f>
        <v>1.4800000000000001E-9</v>
      </c>
      <c r="U11" s="9">
        <f t="array" ref="U11">MIN(IF('Normen en duidingsklassen'!$E$13:$E$20&gt;=$M11,'Normen en duidingsklassen'!$E$13:$E$20))</f>
        <v>1.0000000000000001E-9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0.5</v>
      </c>
      <c r="D12" s="9">
        <v>1</v>
      </c>
      <c r="E12" s="23" t="s">
        <v>17</v>
      </c>
      <c r="F12" s="8" t="s">
        <v>21</v>
      </c>
      <c r="G12" s="10">
        <v>1E-4</v>
      </c>
      <c r="H12" s="26">
        <v>1.3300000000000001E-10</v>
      </c>
      <c r="I12" s="8" t="s">
        <v>17</v>
      </c>
      <c r="J12" s="10"/>
      <c r="K12" s="26"/>
      <c r="L12" s="31" t="str">
        <f t="shared" si="0"/>
        <v>-</v>
      </c>
      <c r="M12" s="10" t="str">
        <f t="shared" si="1"/>
        <v>-</v>
      </c>
      <c r="N12" s="11" t="str">
        <f t="shared" si="2"/>
        <v>-</v>
      </c>
      <c r="O12" s="32" t="str">
        <f>IF(E12="Nee","NR",IF(ISNUMBER($M12),W12,IF($X12,"D","ND")))</f>
        <v>D</v>
      </c>
      <c r="Q12" s="31" t="e">
        <f t="shared" si="3"/>
        <v>#VALUE!</v>
      </c>
      <c r="R12" s="10">
        <f t="shared" ref="R12:R14" si="5">IF(M12="-",1,Q12)</f>
        <v>1</v>
      </c>
      <c r="S12" s="10" t="e">
        <f t="shared" si="4"/>
        <v>#VALUE!</v>
      </c>
      <c r="T12" s="10">
        <f t="shared" ref="T12:T14" si="6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14" si="7">IF($E12="Ja",IF($I12="Ja",NOT(ISNUMBER($J12)),FALSE),FALSE)</f>
        <v>1</v>
      </c>
    </row>
    <row r="13" spans="2:25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21</v>
      </c>
      <c r="G13" s="10">
        <v>1.7E-8</v>
      </c>
      <c r="H13" s="26">
        <v>2.2610000000000002E-8</v>
      </c>
      <c r="I13" s="8" t="s">
        <v>18</v>
      </c>
      <c r="J13" s="10"/>
      <c r="K13" s="26"/>
      <c r="L13" s="31">
        <f t="shared" si="0"/>
        <v>1.7E-8</v>
      </c>
      <c r="M13" s="10">
        <f t="shared" si="1"/>
        <v>2.2610000000000002E-8</v>
      </c>
      <c r="N13" s="11">
        <f t="shared" si="2"/>
        <v>1.33</v>
      </c>
      <c r="O13" s="32" t="str">
        <f>IF(E13="Nee","NR",IF(ISNUMBER($M13),W13,IF($X13,"D","ND")))</f>
        <v>+I</v>
      </c>
      <c r="Q13" s="31">
        <f t="shared" si="3"/>
        <v>0.99999997739000002</v>
      </c>
      <c r="R13" s="10">
        <f t="shared" si="5"/>
        <v>0.99999997739000002</v>
      </c>
      <c r="S13" s="10">
        <f t="shared" si="4"/>
        <v>2.516E-7</v>
      </c>
      <c r="T13" s="10">
        <f t="shared" si="6"/>
        <v>2.516E-7</v>
      </c>
      <c r="U13" s="9">
        <f t="array" ref="U13">MIN(IF('Normen en duidingsklassen'!$E$13:$E$20&gt;=$M13,'Normen en duidingsklassen'!$E$13:$E$20))</f>
        <v>9.9999999999999995E-8</v>
      </c>
      <c r="V13" s="9">
        <f>IFERROR(MATCH($U13,'Normen en duidingsklassen'!$E$13:$E$20,0),1)</f>
        <v>3</v>
      </c>
      <c r="W13" s="9" t="str">
        <f>INDEX('Normen en duidingsklassen'!$D$13:$D$20,V13)</f>
        <v>+I</v>
      </c>
      <c r="X13" s="12" t="b">
        <f t="shared" si="7"/>
        <v>0</v>
      </c>
    </row>
    <row r="14" spans="2:25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21</v>
      </c>
      <c r="G14" s="10">
        <v>1.6914177463549946E-8</v>
      </c>
      <c r="H14" s="26">
        <v>2.3254964311085553E-8</v>
      </c>
      <c r="I14" s="8" t="s">
        <v>18</v>
      </c>
      <c r="J14" s="10"/>
      <c r="K14" s="26"/>
      <c r="L14" s="31">
        <f t="shared" si="0"/>
        <v>1.6914177463549946E-8</v>
      </c>
      <c r="M14" s="10">
        <f t="shared" si="1"/>
        <v>2.3254964311085553E-8</v>
      </c>
      <c r="N14" s="11">
        <f t="shared" si="2"/>
        <v>1.3748800000000001</v>
      </c>
      <c r="O14" s="32" t="str">
        <f>IF(E14="Nee","NR",IF(ISNUMBER($M14),W14,IF($X14,"D","ND")))</f>
        <v>+I</v>
      </c>
      <c r="Q14" s="31">
        <f t="shared" si="3"/>
        <v>0.99999997674503571</v>
      </c>
      <c r="R14" s="10">
        <f t="shared" si="5"/>
        <v>0.99999997674503571</v>
      </c>
      <c r="S14" s="10">
        <f t="shared" si="4"/>
        <v>2.5032982646053922E-7</v>
      </c>
      <c r="T14" s="10">
        <f t="shared" si="6"/>
        <v>2.5032982646053922E-7</v>
      </c>
      <c r="U14" s="9">
        <f t="array" ref="U14">MIN(IF('Normen en duidingsklassen'!$E$13:$E$20&gt;=$M14,'Normen en duidingsklassen'!$E$13:$E$20))</f>
        <v>9.9999999999999995E-8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K11" sqref="K11:K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1.2399999960166497E-7</v>
      </c>
    </row>
    <row r="7" spans="2:21" ht="15.75" thickBot="1" x14ac:dyDescent="0.3">
      <c r="B7" s="41" t="s">
        <v>45</v>
      </c>
      <c r="C7" s="17" t="str">
        <f>IF(1-PRODUCT(N11:N71)&gt;MAX(P11:P71),"Ja","Nee")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23</v>
      </c>
      <c r="G11" s="25">
        <v>3.1000000000000001E-5</v>
      </c>
      <c r="H11" s="3" t="s">
        <v>17</v>
      </c>
      <c r="I11" s="25">
        <v>1.1999999999999999E-7</v>
      </c>
      <c r="J11" s="5">
        <f t="shared" ref="J11:J12" si="0">IF($E11="Nee",0,IF(H11="Ja",IF(ISNUMBER(I11),I11,"-"),IF(ISNUMBER(G11),G11,"-")))</f>
        <v>1.1999999999999999E-7</v>
      </c>
      <c r="K11" s="30" t="str">
        <f>IF($E11="Nee","NR",IF(ISNUMBER($J11),S11,IF($T11,"D","ND")))</f>
        <v>-I</v>
      </c>
      <c r="M11" s="31">
        <f t="shared" ref="M11" si="1">IF(AND(F11="Geen faalkans",H11="Nee"),1,1-J11)</f>
        <v>0.99999987999999995</v>
      </c>
      <c r="N11" s="10">
        <f t="shared" ref="N11" si="2">IF(J11="-",1,M11)</f>
        <v>0.99999987999999995</v>
      </c>
      <c r="O11" s="10">
        <f t="shared" ref="O11" si="3">IF(AND(F11="Geen faalkans",H11="Nee"),0,J11*$C$3)</f>
        <v>2.3999999999999998E-7</v>
      </c>
      <c r="P11" s="10">
        <f>IF(J11="-",0,O11)</f>
        <v>2.3999999999999998E-7</v>
      </c>
      <c r="Q11" s="9">
        <f t="array" ref="Q11">MIN(IF('Normen en duidingsklassen'!$E$13:$E$20&gt;$J11,'Normen en duidingsklassen'!$E$13:$E$20))</f>
        <v>9.9999999999999995E-7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0.5</v>
      </c>
      <c r="D12" s="9">
        <v>1</v>
      </c>
      <c r="E12" s="23" t="s">
        <v>18</v>
      </c>
      <c r="F12" s="8" t="s">
        <v>22</v>
      </c>
      <c r="G12" s="26">
        <v>2.9999999999999997E-5</v>
      </c>
      <c r="H12" s="8" t="s">
        <v>17</v>
      </c>
      <c r="I12" s="26">
        <v>9.9999999999999995E-7</v>
      </c>
      <c r="J12" s="10">
        <f t="shared" si="0"/>
        <v>0</v>
      </c>
      <c r="K12" s="32" t="str">
        <f>IF($E12="Nee","NR",IF(ISNUMBER($J12),S12,IF($T12,"D","ND")))</f>
        <v>NR</v>
      </c>
      <c r="M12" s="31">
        <f t="shared" ref="M12:M14" si="4">IF(AND(F12="Geen faalkans",H12="Nee"),1,1-J12)</f>
        <v>1</v>
      </c>
      <c r="N12" s="10">
        <f t="shared" ref="N12:N14" si="5">IF(J12="-",1,M12)</f>
        <v>1</v>
      </c>
      <c r="O12" s="10">
        <f t="shared" ref="O12:O14" si="6">IF(AND(F12="Geen faalkans",H12="Nee"),0,J12*$C$3)</f>
        <v>0</v>
      </c>
      <c r="P12" s="10">
        <f t="shared" ref="P12:P14" si="7">IF(J12="-",0,O12)</f>
        <v>0</v>
      </c>
      <c r="Q12" s="9">
        <f t="array" ref="Q12">MIN(IF('Normen en duidingsklassen'!$E$13:$E$20&gt;$J12,'Normen en duidingsklassen'!$E$13:$E$20))</f>
        <v>1.0000000000000001E-9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14" si="8">IF($E12="Ja",IF($H12="Ja",NOT(ISNUMBER($I12)),FALSE),FALSE)</f>
        <v>0</v>
      </c>
    </row>
    <row r="13" spans="2:21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23</v>
      </c>
      <c r="G13" s="26">
        <v>4.01E-9</v>
      </c>
      <c r="H13" s="8" t="s">
        <v>17</v>
      </c>
      <c r="I13" s="26"/>
      <c r="J13" s="10" t="str">
        <f>IF($E13="Nee",0,IF(H13="Ja",IF(ISNUMBER(I13),I13,"-"),IF(ISNUMBER(G13),G13,"-")))</f>
        <v>-</v>
      </c>
      <c r="K13" s="32" t="str">
        <f>IF($E13="Nee","NR",IF(ISNUMBER($J13),S13,IF($T13,"D","ND")))</f>
        <v>D</v>
      </c>
      <c r="M13" s="31" t="e">
        <f t="shared" si="4"/>
        <v>#VALUE!</v>
      </c>
      <c r="N13" s="10">
        <f t="shared" si="5"/>
        <v>1</v>
      </c>
      <c r="O13" s="10" t="e">
        <f t="shared" si="6"/>
        <v>#VALUE!</v>
      </c>
      <c r="P13" s="10">
        <f t="shared" si="7"/>
        <v>0</v>
      </c>
      <c r="Q13" s="9">
        <f t="array" ref="Q13">MIN(IF('Normen en duidingsklassen'!$E$13:$E$20&gt;$J13,'Normen en duidingsklassen'!$E$13:$E$20))</f>
        <v>0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8"/>
        <v>1</v>
      </c>
    </row>
    <row r="14" spans="2:21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23</v>
      </c>
      <c r="G14" s="26">
        <v>1.2100000000000001E-7</v>
      </c>
      <c r="H14" s="8" t="s">
        <v>17</v>
      </c>
      <c r="I14" s="26">
        <v>3.9999999999999994E-9</v>
      </c>
      <c r="J14" s="10">
        <f t="shared" ref="J14" si="9">IF($E14="Nee",0,IF(H14="Ja",IF(ISNUMBER(I14),I14,"-"),IF(ISNUMBER(G14),G14,"-")))</f>
        <v>3.9999999999999994E-9</v>
      </c>
      <c r="K14" s="32" t="str">
        <f>IF($E14="Nee","NR",IF(ISNUMBER($J14),S14,IF($T14,"D","ND")))</f>
        <v>+II</v>
      </c>
      <c r="M14" s="31">
        <f t="shared" si="4"/>
        <v>0.999999996</v>
      </c>
      <c r="N14" s="10">
        <f t="shared" si="5"/>
        <v>0.999999996</v>
      </c>
      <c r="O14" s="10">
        <f t="shared" si="6"/>
        <v>7.9999999999999988E-9</v>
      </c>
      <c r="P14" s="10">
        <f t="shared" si="7"/>
        <v>7.9999999999999988E-9</v>
      </c>
      <c r="Q14" s="9">
        <f t="array" ref="Q14">MIN(IF('Normen en duidingsklassen'!$E$13:$E$20&gt;$J14,'Normen en duidingsklassen'!$E$13:$E$20))</f>
        <v>1E-8</v>
      </c>
      <c r="R14" s="9">
        <f>IFERROR(MATCH($Q14,'Normen en duidingsklassen'!$E$13:$E$20),1)</f>
        <v>2</v>
      </c>
      <c r="S14" s="9" t="str">
        <f>INDEX('Normen en duidingsklassen'!$D$13:$D$20,R14)</f>
        <v>+II</v>
      </c>
      <c r="T14" s="12" t="b">
        <f t="shared" si="8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2.0680000000000001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1.0000000000000001E-9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K11" sqref="K11:K1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 t="str">
        <f>IFERROR(MIN(1-PRODUCT(M11:M28),MAX(O11:O28)),"GR")</f>
        <v>GR</v>
      </c>
    </row>
    <row r="6" spans="2:21" x14ac:dyDescent="0.25">
      <c r="B6" s="40" t="s">
        <v>38</v>
      </c>
      <c r="C6" s="26">
        <f>MIN(1-PRODUCT(N11:N28),MAX(P11:P28))</f>
        <v>7.1118888556043203E-9</v>
      </c>
    </row>
    <row r="7" spans="2:21" ht="15.75" thickBot="1" x14ac:dyDescent="0.3">
      <c r="B7" s="41" t="s">
        <v>45</v>
      </c>
      <c r="C7" s="17" t="str">
        <f>IF(1-PRODUCT(N11:N28)&gt;MAX(P11:P28),"Ja","Nee")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8" t="s">
        <v>23</v>
      </c>
      <c r="G11" s="25"/>
      <c r="H11" s="3" t="s">
        <v>17</v>
      </c>
      <c r="I11" s="25"/>
      <c r="J11" s="5" t="str">
        <f t="shared" ref="J11:J19" si="0">IF($E11="Nee",0,IF(H11="Ja",IF(ISNUMBER(I11),I11,"-"),IF(ISNUMBER(G11),G11,"-")))</f>
        <v>-</v>
      </c>
      <c r="K11" s="30" t="str">
        <f t="shared" ref="K11:K19" si="1">IF($E11="Nee","NR",IF(ISNUMBER($J11),S11,IF($T11,"D","ND")))</f>
        <v>D</v>
      </c>
      <c r="M11" s="31" t="e">
        <f t="shared" ref="M11:M12" si="2">IF(AND(F11="Geen faalkans",H11="Nee"),1,1-J11)</f>
        <v>#VALUE!</v>
      </c>
      <c r="N11" s="10">
        <f t="shared" ref="N11:N12" si="3">IF(J11="-",1,M11)</f>
        <v>1</v>
      </c>
      <c r="O11" s="10" t="e">
        <f t="shared" ref="O11:O12" si="4"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1</v>
      </c>
    </row>
    <row r="12" spans="2:2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NR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23</v>
      </c>
      <c r="G13" s="26">
        <v>6.6666666666666668E-9</v>
      </c>
      <c r="H13" s="8" t="s">
        <v>17</v>
      </c>
      <c r="I13" s="26">
        <v>2.2222222222222221E-10</v>
      </c>
      <c r="J13" s="10">
        <f t="shared" si="0"/>
        <v>2.2222222222222221E-10</v>
      </c>
      <c r="K13" s="32" t="str">
        <f t="shared" si="1"/>
        <v>+III</v>
      </c>
      <c r="M13" s="31">
        <f t="shared" ref="M13:M19" si="7">IF(AND(F13="Geen faalkans",H13="Nee"),1,1-J13)</f>
        <v>0.99999999977777776</v>
      </c>
      <c r="N13" s="10">
        <f t="shared" ref="N13:N19" si="8">IF(J13="-",1,M13)</f>
        <v>0.99999999977777776</v>
      </c>
      <c r="O13" s="10">
        <f t="shared" ref="O13:O19" si="9">IF(AND(F13="Geen faalkans",H13="Nee"),0,J13*$C$3)</f>
        <v>6.6666666666666664E-10</v>
      </c>
      <c r="P13" s="10">
        <f t="shared" si="5"/>
        <v>6.6666666666666664E-10</v>
      </c>
      <c r="Q13" s="9">
        <f t="array" ref="Q13">MIN(IF('Normen en duidingsklassen'!$E$13:$E$20&gt;=$J13,'Normen en duidingsklassen'!$E$13:$E$20))</f>
        <v>1.0000000000000001E-9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NR</v>
      </c>
      <c r="M14" s="31">
        <f t="shared" si="7"/>
        <v>1</v>
      </c>
      <c r="N14" s="10">
        <f t="shared" si="8"/>
        <v>1</v>
      </c>
      <c r="O14" s="10">
        <f t="shared" si="9"/>
        <v>0</v>
      </c>
      <c r="P14" s="10">
        <f t="shared" ref="P14:P19" si="10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23</v>
      </c>
      <c r="G15" s="26">
        <v>9.9999999999999995E-7</v>
      </c>
      <c r="H15" s="8" t="s">
        <v>17</v>
      </c>
      <c r="I15" s="26">
        <v>2.2300000000000001E-10</v>
      </c>
      <c r="J15" s="10">
        <f t="shared" si="0"/>
        <v>2.2300000000000001E-10</v>
      </c>
      <c r="K15" s="32" t="str">
        <f t="shared" si="1"/>
        <v>+III</v>
      </c>
      <c r="M15" s="31">
        <f t="shared" si="7"/>
        <v>0.99999999977700005</v>
      </c>
      <c r="N15" s="10">
        <f t="shared" si="8"/>
        <v>0.99999999977700005</v>
      </c>
      <c r="O15" s="10">
        <f t="shared" si="9"/>
        <v>6.6900000000000007E-10</v>
      </c>
      <c r="P15" s="10">
        <f t="shared" si="10"/>
        <v>6.6900000000000007E-10</v>
      </c>
      <c r="Q15" s="9">
        <f t="array" ref="Q15">MIN(IF('Normen en duidingsklassen'!$E$13:$E$20&gt;=$J15,'Normen en duidingsklassen'!$E$13:$E$20))</f>
        <v>1.0000000000000001E-9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NR</v>
      </c>
      <c r="M16" s="31">
        <f t="shared" si="7"/>
        <v>1</v>
      </c>
      <c r="N16" s="10">
        <f t="shared" si="8"/>
        <v>1</v>
      </c>
      <c r="O16" s="10">
        <f t="shared" si="9"/>
        <v>0</v>
      </c>
      <c r="P16" s="10">
        <f t="shared" si="10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23</v>
      </c>
      <c r="G17" s="26">
        <v>2.9999999999999997E-5</v>
      </c>
      <c r="H17" s="8" t="s">
        <v>17</v>
      </c>
      <c r="I17" s="26">
        <v>6.6666666666666668E-9</v>
      </c>
      <c r="J17" s="10">
        <f t="shared" si="0"/>
        <v>6.6666666666666668E-9</v>
      </c>
      <c r="K17" s="32" t="str">
        <f t="shared" si="1"/>
        <v>+II</v>
      </c>
      <c r="M17" s="31">
        <f t="shared" si="7"/>
        <v>0.99999999333333334</v>
      </c>
      <c r="N17" s="10">
        <f t="shared" si="8"/>
        <v>0.99999999333333334</v>
      </c>
      <c r="O17" s="10">
        <f t="shared" si="9"/>
        <v>2E-8</v>
      </c>
      <c r="P17" s="10">
        <f t="shared" si="10"/>
        <v>2E-8</v>
      </c>
      <c r="Q17" s="9">
        <f t="array" ref="Q17">MIN(IF('Normen en duidingsklassen'!$E$13:$E$20&gt;=$J17,'Normen en duidingsklassen'!$E$13:$E$20))</f>
        <v>1E-8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23</v>
      </c>
      <c r="G19" s="26"/>
      <c r="H19" s="8" t="s">
        <v>17</v>
      </c>
      <c r="I19" s="26">
        <v>0</v>
      </c>
      <c r="J19" s="10">
        <f t="shared" si="0"/>
        <v>0</v>
      </c>
      <c r="K19" s="32" t="str">
        <f t="shared" si="1"/>
        <v>+III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K11" sqref="K11:K1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 t="str">
        <f>IFERROR(MIN(1-PRODUCT(M11:M28),MAX(O11:O28)),"GR")</f>
        <v>GR</v>
      </c>
    </row>
    <row r="6" spans="2:21" x14ac:dyDescent="0.25">
      <c r="B6" s="40" t="s">
        <v>38</v>
      </c>
      <c r="C6" s="26">
        <f>MIN(1-PRODUCT(N11:N28),MAX(P11:P28))</f>
        <v>9.9999999999999995E-7</v>
      </c>
    </row>
    <row r="7" spans="2:21" ht="15.75" thickBot="1" x14ac:dyDescent="0.3">
      <c r="B7" s="41" t="s">
        <v>45</v>
      </c>
      <c r="C7" s="17" t="str">
        <f>IF(1-PRODUCT(N11:N28)&gt;MAX(P11:P28),"Ja","Nee")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3" t="s">
        <v>21</v>
      </c>
      <c r="G11" s="25"/>
      <c r="H11" s="3" t="s">
        <v>17</v>
      </c>
      <c r="I11" s="25"/>
      <c r="J11" s="5" t="str">
        <f t="shared" ref="J11:J18" si="0">IF($E11="Nee",0,IF(H11="Ja",IF(ISNUMBER(I11),I11,"-"),IF(ISNUMBER(G11),G11,"-")))</f>
        <v>-</v>
      </c>
      <c r="K11" s="30" t="str">
        <f t="shared" ref="K11:K19" si="1">IF($E11="Nee","NR",IF(ISNUMBER($J11),S11,IF($T11,"D","ND")))</f>
        <v>D</v>
      </c>
      <c r="M11" s="31" t="e">
        <f t="shared" ref="M11:M19" si="2">IF(AND(F11="Geen faalkans",H11="Nee"),1,1-J11)</f>
        <v>#VALUE!</v>
      </c>
      <c r="N11" s="10">
        <f t="shared" ref="N11:N19" si="3">IF(J11="-",1,M11)</f>
        <v>1</v>
      </c>
      <c r="O11" s="10" t="e">
        <f t="shared" ref="O11:O19" si="4"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duidingsklassen'!$E$13:$E$20&gt;$J11,'Normen en duidingsklassen'!$E$13:$E$20))</f>
        <v>0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1</v>
      </c>
    </row>
    <row r="12" spans="2:2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NR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9" si="5">IF(J12="-",0,O12)</f>
        <v>0</v>
      </c>
      <c r="Q12" s="9">
        <f t="array" ref="Q12">MIN(IF('Normen en duidingsklassen'!$E$13:$E$20&gt;$J12,'Normen en duidingsklassen'!$E$13:$E$20))</f>
        <v>1.0000000000000001E-9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x14ac:dyDescent="0.25">
      <c r="B13" s="8" t="s">
        <v>10</v>
      </c>
      <c r="C13" s="9">
        <v>0.5</v>
      </c>
      <c r="D13" s="9">
        <v>0.6</v>
      </c>
      <c r="E13" s="23" t="s">
        <v>103</v>
      </c>
      <c r="F13" s="8" t="s">
        <v>21</v>
      </c>
      <c r="G13" s="26">
        <v>7.843137254901961E-11</v>
      </c>
      <c r="H13" s="8" t="s">
        <v>18</v>
      </c>
      <c r="I13" s="26"/>
      <c r="J13" s="10">
        <f t="shared" si="0"/>
        <v>7.843137254901961E-11</v>
      </c>
      <c r="K13" s="32" t="str">
        <f t="shared" si="1"/>
        <v>+III</v>
      </c>
      <c r="M13" s="31">
        <f t="shared" si="2"/>
        <v>0.99999999992156863</v>
      </c>
      <c r="N13" s="10">
        <f t="shared" si="3"/>
        <v>0.99999999992156863</v>
      </c>
      <c r="O13" s="10">
        <f t="shared" si="4"/>
        <v>7.843137254901961E-11</v>
      </c>
      <c r="P13" s="10">
        <f t="shared" si="5"/>
        <v>7.843137254901961E-11</v>
      </c>
      <c r="Q13" s="9">
        <f t="array" ref="Q13">MIN(IF('Normen en duidingsklassen'!$E$13:$E$20&gt;$J13,'Normen en duidingsklassen'!$E$13:$E$20))</f>
        <v>1.0000000000000001E-9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NR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1.0000000000000001E-9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</v>
      </c>
      <c r="D15" s="9">
        <v>1.1000000000000001</v>
      </c>
      <c r="E15" s="23" t="s">
        <v>103</v>
      </c>
      <c r="F15" s="8" t="s">
        <v>21</v>
      </c>
      <c r="G15" s="26">
        <v>0</v>
      </c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1.0000000000000001E-9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NR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1.0000000000000001E-9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21</v>
      </c>
      <c r="G17" s="26">
        <v>1</v>
      </c>
      <c r="H17" s="8" t="s">
        <v>17</v>
      </c>
      <c r="I17" s="26">
        <v>9.9999999999999995E-7</v>
      </c>
      <c r="J17" s="10">
        <f t="shared" si="0"/>
        <v>9.9999999999999995E-7</v>
      </c>
      <c r="K17" s="32" t="str">
        <f t="shared" si="1"/>
        <v>-II</v>
      </c>
      <c r="M17" s="31">
        <f t="shared" si="2"/>
        <v>0.99999899999999997</v>
      </c>
      <c r="N17" s="10">
        <f t="shared" si="3"/>
        <v>0.99999899999999997</v>
      </c>
      <c r="O17" s="10">
        <f t="shared" si="4"/>
        <v>9.9999999999999995E-7</v>
      </c>
      <c r="P17" s="10">
        <f t="shared" si="5"/>
        <v>9.9999999999999995E-7</v>
      </c>
      <c r="Q17" s="9">
        <f t="array" ref="Q17">MIN(IF('Normen en duidingsklassen'!$E$13:$E$20&gt;$J17,'Normen en duidingsklassen'!$E$13:$E$20))</f>
        <v>9.9999999999999991E-6</v>
      </c>
      <c r="R17" s="9">
        <f>IFERROR(MATCH($Q17,'Normen en duidingsklassen'!$E$13:$E$20),1)</f>
        <v>6</v>
      </c>
      <c r="S17" s="9" t="str">
        <f>INDEX('Normen en duidingsklassen'!$D$13:$D$20,R17)</f>
        <v>-II</v>
      </c>
      <c r="T17" s="12" t="b">
        <f t="shared" si="6"/>
        <v>0</v>
      </c>
    </row>
    <row r="18" spans="2:20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1.0000000000000001E-9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21</v>
      </c>
      <c r="G19" s="26">
        <v>2.3529411764705885E-9</v>
      </c>
      <c r="H19" s="8" t="s">
        <v>17</v>
      </c>
      <c r="I19" s="26">
        <v>0</v>
      </c>
      <c r="J19" s="10">
        <f>IF($E19="Nee",0,IF(H19="Ja",IF(ISNUMBER(I19),I19,"-"),IF(ISNUMBER(G19),G19,"-")))</f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1.0000000000000001E-9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K11" sqref="K11:K1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 t="str">
        <f>IFERROR(MIN(1-PRODUCT(M11:M27),MAX(O11:O27)),"GR")</f>
        <v>GR</v>
      </c>
    </row>
    <row r="6" spans="2:21" x14ac:dyDescent="0.25">
      <c r="B6" s="40" t="s">
        <v>38</v>
      </c>
      <c r="C6" s="26">
        <f>MIN(1-PRODUCT(N11:N27),MAX(P11:P27))</f>
        <v>1.0039999960298474E-6</v>
      </c>
    </row>
    <row r="7" spans="2:21" ht="15.75" thickBot="1" x14ac:dyDescent="0.3">
      <c r="B7" s="41" t="s">
        <v>45</v>
      </c>
      <c r="C7" s="17" t="str">
        <f>IF(1-PRODUCT(N11:N27)&gt;MAX(P11:P27),"Ja","Nee")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3" t="s">
        <v>23</v>
      </c>
      <c r="G11" s="25">
        <v>0</v>
      </c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19" si="1">IF($E11="Nee","NR",IF(ISNUMBER($J11),S11,IF($T11,"D","ND")))</f>
        <v>+III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NR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23</v>
      </c>
      <c r="G13" s="26">
        <v>2.9999999999999997E-5</v>
      </c>
      <c r="H13" s="8" t="s">
        <v>17</v>
      </c>
      <c r="I13" s="26">
        <v>4.0000000000000002E-9</v>
      </c>
      <c r="J13" s="10">
        <f t="shared" si="0"/>
        <v>4.0000000000000002E-9</v>
      </c>
      <c r="K13" s="32" t="str">
        <f t="shared" si="1"/>
        <v>+II</v>
      </c>
      <c r="M13" s="31">
        <f t="shared" ref="M13:M19" si="7">IF(AND(F13="Geen faalkans",H13="Nee"),1,1-J13)</f>
        <v>0.999999996</v>
      </c>
      <c r="N13" s="10">
        <f t="shared" ref="N13:N19" si="8">IF(J13="-",1,M13)</f>
        <v>0.999999996</v>
      </c>
      <c r="O13" s="10">
        <f t="shared" si="4"/>
        <v>8.0000000000000005E-9</v>
      </c>
      <c r="P13" s="10">
        <f t="shared" si="5"/>
        <v>8.0000000000000005E-9</v>
      </c>
      <c r="Q13" s="9">
        <f t="array" ref="Q13">MIN(IF('Normen en duidingsklassen'!$E$13:$E$20&gt;=$J13,'Normen en duidingsklassen'!$E$13:$E$20))</f>
        <v>1E-8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NR</v>
      </c>
      <c r="M14" s="31">
        <f t="shared" si="7"/>
        <v>1</v>
      </c>
      <c r="N14" s="10">
        <f t="shared" si="8"/>
        <v>1</v>
      </c>
      <c r="O14" s="10">
        <f t="shared" ref="O14:O19" si="9">IF(AND(F14="Geen faalkans",H14="Nee"),0,J14*$C$3)</f>
        <v>0</v>
      </c>
      <c r="P14" s="10">
        <f t="shared" ref="P14:P19" si="10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22</v>
      </c>
      <c r="G15" s="26">
        <v>9.9999999999999995E-7</v>
      </c>
      <c r="H15" s="8" t="s">
        <v>17</v>
      </c>
      <c r="I15" s="26"/>
      <c r="J15" s="10" t="str">
        <f t="shared" si="0"/>
        <v>-</v>
      </c>
      <c r="K15" s="32" t="str">
        <f t="shared" si="1"/>
        <v>D</v>
      </c>
      <c r="M15" s="31" t="e">
        <f t="shared" si="7"/>
        <v>#VALUE!</v>
      </c>
      <c r="N15" s="10">
        <f t="shared" si="8"/>
        <v>1</v>
      </c>
      <c r="O15" s="10" t="e">
        <f t="shared" si="9"/>
        <v>#VALUE!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1</v>
      </c>
    </row>
    <row r="16" spans="2:21" ht="15.75" customHeight="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69"/>
      <c r="H16" s="8" t="s">
        <v>18</v>
      </c>
      <c r="I16" s="26"/>
      <c r="J16" s="10">
        <f t="shared" si="0"/>
        <v>0</v>
      </c>
      <c r="K16" s="32" t="str">
        <f t="shared" si="1"/>
        <v>NR</v>
      </c>
      <c r="M16" s="31">
        <f t="shared" si="7"/>
        <v>1</v>
      </c>
      <c r="N16" s="10">
        <f t="shared" si="8"/>
        <v>1</v>
      </c>
      <c r="O16" s="10">
        <f t="shared" si="9"/>
        <v>0</v>
      </c>
      <c r="P16" s="10">
        <f t="shared" si="10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23</v>
      </c>
      <c r="G17" s="26">
        <v>1.2100000000000001E-7</v>
      </c>
      <c r="H17" s="8" t="s">
        <v>17</v>
      </c>
      <c r="I17" s="26">
        <v>9.9999999999999995E-7</v>
      </c>
      <c r="J17" s="10">
        <f t="shared" si="0"/>
        <v>9.9999999999999995E-7</v>
      </c>
      <c r="K17" s="32" t="str">
        <f t="shared" si="1"/>
        <v>+0</v>
      </c>
      <c r="M17" s="31">
        <f t="shared" si="7"/>
        <v>0.99999899999999997</v>
      </c>
      <c r="N17" s="10">
        <f t="shared" si="8"/>
        <v>0.99999899999999997</v>
      </c>
      <c r="O17" s="10">
        <f t="shared" si="9"/>
        <v>1.9999999999999999E-6</v>
      </c>
      <c r="P17" s="10">
        <f t="shared" si="10"/>
        <v>1.9999999999999999E-6</v>
      </c>
      <c r="Q17" s="9">
        <f t="array" ref="Q17">MIN(IF('Normen en duidingsklassen'!$E$13:$E$20&gt;=$J17,'Normen en duidingsklassen'!$E$13:$E$20))</f>
        <v>9.9999999999999995E-7</v>
      </c>
      <c r="R17" s="9">
        <f>IFERROR(MATCH($Q17,'Normen en duidingsklassen'!$E$13:$E$20,0),1)</f>
        <v>4</v>
      </c>
      <c r="S17" s="9" t="str">
        <f>INDEX('Normen en duidingsklassen'!$D$13:$D$20,R17)</f>
        <v>+0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23</v>
      </c>
      <c r="G19" s="26"/>
      <c r="H19" s="8" t="s">
        <v>17</v>
      </c>
      <c r="I19" s="26"/>
      <c r="J19" s="10" t="str">
        <f t="shared" si="0"/>
        <v>-</v>
      </c>
      <c r="K19" s="32" t="str">
        <f t="shared" si="1"/>
        <v>D</v>
      </c>
      <c r="M19" s="31" t="e">
        <f t="shared" si="7"/>
        <v>#VALUE!</v>
      </c>
      <c r="N19" s="10">
        <f t="shared" si="8"/>
        <v>1</v>
      </c>
      <c r="O19" s="10" t="e">
        <f t="shared" si="9"/>
        <v>#VALUE!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1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1.3939012171171328E-6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2.9999999999999997E-5</v>
      </c>
      <c r="H3">
        <f>IFERROR(MATCH(G3,'Normen en duidingsklassen'!$F$4:$F$8),1)</f>
        <v>5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2.1279180495437089E-7</v>
      </c>
      <c r="E7" s="49"/>
      <c r="G7" s="1" t="e">
        <f>IF(ISNUMBER(E7),1-E7,1-C7)</f>
        <v>#VALUE!</v>
      </c>
      <c r="H7" s="1">
        <f>IF(ISNUMBER(E7),1-E7,1-D7)</f>
        <v>0.99999978720819505</v>
      </c>
    </row>
    <row r="8" spans="2:8" x14ac:dyDescent="0.25">
      <c r="B8" s="40" t="s">
        <v>67</v>
      </c>
      <c r="C8" s="31" t="str">
        <f>STBI!C5</f>
        <v>GR</v>
      </c>
      <c r="D8" s="26">
        <f>STBI!C6</f>
        <v>4.5997963771249317E-8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0.99999995400203623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1.2399999960166497E-7</v>
      </c>
      <c r="E9" s="49"/>
      <c r="G9" s="1" t="e">
        <f t="shared" si="0"/>
        <v>#VALUE!</v>
      </c>
      <c r="H9" s="1">
        <f t="shared" si="1"/>
        <v>0.9999998760000004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 t="str">
        <f>STKWp!C5</f>
        <v>GR</v>
      </c>
      <c r="D11" s="26">
        <f>STKWp!C6</f>
        <v>7.1118888556043203E-9</v>
      </c>
      <c r="E11" s="49"/>
      <c r="G11" s="1" t="e">
        <f t="shared" si="0"/>
        <v>#VALUE!</v>
      </c>
      <c r="H11" s="1">
        <f t="shared" si="1"/>
        <v>0.99999999288811114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1.0039999960298474E-6</v>
      </c>
      <c r="E12" s="49"/>
      <c r="G12" s="1" t="e">
        <f t="shared" si="0"/>
        <v>#VALUE!</v>
      </c>
      <c r="H12" s="1">
        <f t="shared" si="1"/>
        <v>0.99999899600000397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tabSelected="1" workbookViewId="0">
      <selection activeCell="D3" sqref="D3:E1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107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0.1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D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-I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-I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D</v>
      </c>
      <c r="K3" s="4" t="str">
        <f t="array" ref="K3">INDEX(BSKW!$K$11:$K$30,IFERROR(MATCH(MIN(IF(BSKW!$D$11:$D$30&gt;AVERAGE(B3,C3),BSKW!$D$11:$D$30)),BSKW!$D$11:$D$30),1))</f>
        <v>D</v>
      </c>
      <c r="L3" s="7" t="str">
        <f t="array" ref="L3">INDEX(HTKW!$K$11:$K$30,IFERROR(MATCH(MIN(IF(HTKW!$D$11:$D$30&gt;AVERAGE(B3,C3),HTKW!$D$11:$D$30)),HTKW!$D$11:$D$30),1))</f>
        <v>+III</v>
      </c>
    </row>
    <row r="4" spans="2:12" x14ac:dyDescent="0.25">
      <c r="B4" s="8">
        <v>0.1</v>
      </c>
      <c r="C4" s="9">
        <v>0.5</v>
      </c>
      <c r="D4" s="23" t="str">
        <f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INDEX(STPH!$O$11:$O$30,IFERROR(MATCH(MIN(IF(STPH!$D$11:$D$30&gt;AVERAGE(B4,C4),STPH!$D$11:$D$30)),STPH!$D$11:$D$30),1))</f>
        <v>+0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INDEX(GEKB!$K$11:$K$30,IFERROR(MATCH(MIN(IF(GEKB!$D$11:$D$30&gt;AVERAGE(B4,C4),GEKB!$D$11:$D$30)),GEKB!$D$11:$D$30),1))</f>
        <v>-I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0.5</v>
      </c>
      <c r="C5" s="9">
        <v>0.6</v>
      </c>
      <c r="D5" s="23" t="str">
        <f>IF(COUNTIF(F5:L5,"D")&gt;0,"D",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)</f>
        <v>D</v>
      </c>
      <c r="E5" s="23" t="str">
        <f>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</f>
        <v>+0</v>
      </c>
      <c r="F5" s="9" t="str">
        <f t="array" ref="F5">INDEX(STPH!$O$11:$O$30,IFERROR(MATCH(MIN(IF(STPH!$D$11:$D$30&gt;AVERAGE(B5,C5),STPH!$D$11:$D$30)),STPH!$D$11:$D$30),1))</f>
        <v>+0</v>
      </c>
      <c r="G5" s="9" t="str">
        <f t="array" ref="G5">INDEX(STBI!$O$11:$O$30,IFERROR(MATCH(MIN(IF(STBI!$D$11:$D$30&gt;AVERAGE(B5,C5),STBI!$D$11:$D$30)),STBI!$D$11:$D$30),1))</f>
        <v>D</v>
      </c>
      <c r="H5" s="9" t="str">
        <f t="array" ref="H5">INDEX(GEKB!$K$11:$K$30,IFERROR(MATCH(MIN(IF(GEKB!$D$11:$D$30&gt;AVERAGE(B5,C5),GEKB!$D$11:$D$30)),GEKB!$D$11:$D$30),1))</f>
        <v>NR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+III</v>
      </c>
      <c r="K5" s="9" t="str">
        <f t="array" ref="K5">INDEX(BSKW!$K$11:$K$30,IFERROR(MATCH(MIN(IF(BSKW!$D$11:$D$30&gt;AVERAGE(B5,C5),BSKW!$D$11:$D$30)),BSKW!$D$11:$D$30),1))</f>
        <v>+III</v>
      </c>
      <c r="L5" s="12" t="str">
        <f t="array" ref="L5">INDEX(HTKW!$K$11:$K$30,IFERROR(MATCH(MIN(IF(HTKW!$D$11:$D$30&gt;AVERAGE(B5,C5),HTKW!$D$11:$D$30)),HTKW!$D$11:$D$30),1))</f>
        <v>+II</v>
      </c>
    </row>
    <row r="6" spans="2:12" x14ac:dyDescent="0.25">
      <c r="B6" s="8">
        <v>0.6</v>
      </c>
      <c r="C6" s="9">
        <v>1</v>
      </c>
      <c r="D6" s="23" t="str">
        <f>IF(COUNTIF(F6:L6,"D")&gt;0,"D",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)</f>
        <v>D</v>
      </c>
      <c r="E6" s="23" t="str">
        <f>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</f>
        <v>+0</v>
      </c>
      <c r="F6" s="9" t="str">
        <f t="array" ref="F6">INDEX(STPH!$O$11:$O$30,IFERROR(MATCH(MIN(IF(STPH!$D$11:$D$30&gt;AVERAGE(B6,C6),STPH!$D$11:$D$30)),STPH!$D$11:$D$30),1))</f>
        <v>+0</v>
      </c>
      <c r="G6" s="9" t="str">
        <f t="array" ref="G6">INDEX(STBI!$O$11:$O$30,IFERROR(MATCH(MIN(IF(STBI!$D$11:$D$30&gt;AVERAGE(B6,C6),STBI!$D$11:$D$30)),STBI!$D$11:$D$30),1))</f>
        <v>D</v>
      </c>
      <c r="H6" s="9" t="str">
        <f t="array" ref="H6">INDEX(GEKB!$K$11:$K$30,IFERROR(MATCH(MIN(IF(GEKB!$D$11:$D$30&gt;AVERAGE(B6,C6),GEKB!$D$11:$D$30)),GEKB!$D$11:$D$30),1))</f>
        <v>NR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1</v>
      </c>
      <c r="C7" s="9">
        <v>1.1000000000000001</v>
      </c>
      <c r="D7" s="23" t="str">
        <f>IF(COUNTIF(F7:L7,"D")&gt;0,"D",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)</f>
        <v>D</v>
      </c>
      <c r="E7" s="23" t="str">
        <f>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</f>
        <v>+I</v>
      </c>
      <c r="F7" s="9" t="str">
        <f t="array" ref="F7">INDEX(STPH!$O$11:$O$30,IFERROR(MATCH(MIN(IF(STPH!$D$11:$D$30&gt;AVERAGE(B7,C7),STPH!$D$11:$D$30)),STPH!$D$11:$D$30),1))</f>
        <v>D</v>
      </c>
      <c r="G7" s="9" t="str">
        <f t="array" ref="G7">INDEX(STBI!$O$11:$O$30,IFERROR(MATCH(MIN(IF(STBI!$D$11:$D$30&gt;AVERAGE(B7,C7),STBI!$D$11:$D$30)),STBI!$D$11:$D$30),1))</f>
        <v>+I</v>
      </c>
      <c r="H7" s="9" t="str">
        <f t="array" ref="H7">INDEX(GEKB!$K$11:$K$30,IFERROR(MATCH(MIN(IF(GEKB!$D$11:$D$30&gt;AVERAGE(B7,C7),GEKB!$D$11:$D$30)),GEKB!$D$11:$D$30),1))</f>
        <v>D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+III</v>
      </c>
      <c r="K7" s="9" t="str">
        <f t="array" ref="K7">INDEX(BSKW!$K$11:$K$30,IFERROR(MATCH(MIN(IF(BSKW!$D$11:$D$30&gt;AVERAGE(B7,C7),BSKW!$D$11:$D$30)),BSKW!$D$11:$D$30),1))</f>
        <v>+III</v>
      </c>
      <c r="L7" s="12" t="str">
        <f t="array" ref="L7">INDEX(HTKW!$K$11:$K$30,IFERROR(MATCH(MIN(IF(HTKW!$D$11:$D$30&gt;AVERAGE(B7,C7),HTKW!$D$11:$D$30)),HTKW!$D$11:$D$30),1))</f>
        <v>D</v>
      </c>
    </row>
    <row r="8" spans="2:12" x14ac:dyDescent="0.25">
      <c r="B8" s="8">
        <v>1.1000000000000001</v>
      </c>
      <c r="C8" s="9">
        <v>1.5</v>
      </c>
      <c r="D8" s="23" t="str">
        <f>IF(COUNTIF(F8:L8,"D")&gt;0,"D",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)</f>
        <v>D</v>
      </c>
      <c r="E8" s="23" t="str">
        <f>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</f>
        <v>+I</v>
      </c>
      <c r="F8" s="9" t="str">
        <f t="array" ref="F8">INDEX(STPH!$O$11:$O$30,IFERROR(MATCH(MIN(IF(STPH!$D$11:$D$30&gt;AVERAGE(B8,C8),STPH!$D$11:$D$30)),STPH!$D$11:$D$30),1))</f>
        <v>D</v>
      </c>
      <c r="G8" s="9" t="str">
        <f t="array" ref="G8">INDEX(STBI!$O$11:$O$30,IFERROR(MATCH(MIN(IF(STBI!$D$11:$D$30&gt;AVERAGE(B8,C8),STBI!$D$11:$D$30)),STBI!$D$11:$D$30),1))</f>
        <v>+I</v>
      </c>
      <c r="H8" s="9" t="str">
        <f t="array" ref="H8">INDEX(GEKB!$K$11:$K$30,IFERROR(MATCH(MIN(IF(GEKB!$D$11:$D$30&gt;AVERAGE(B8,C8),GEKB!$D$11:$D$30)),GEKB!$D$11:$D$30),1))</f>
        <v>D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NR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1.5</v>
      </c>
      <c r="C9" s="9">
        <v>1.6</v>
      </c>
      <c r="D9" s="23" t="str">
        <f>IF(COUNTIF(F9:L9,"D")&gt;0,"D",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)</f>
        <v>-II</v>
      </c>
      <c r="E9" s="23" t="str">
        <f>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</f>
        <v>-II</v>
      </c>
      <c r="F9" s="9" t="str">
        <f t="array" ref="F9">INDEX(STPH!$O$11:$O$30,IFERROR(MATCH(MIN(IF(STPH!$D$11:$D$30&gt;AVERAGE(B9,C9),STPH!$D$11:$D$30)),STPH!$D$11:$D$30),1))</f>
        <v>+III</v>
      </c>
      <c r="G9" s="9" t="str">
        <f t="array" ref="G9">INDEX(STBI!$O$11:$O$30,IFERROR(MATCH(MIN(IF(STBI!$D$11:$D$30&gt;AVERAGE(B9,C9),STBI!$D$11:$D$30)),STBI!$D$11:$D$30),1))</f>
        <v>+I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+II</v>
      </c>
      <c r="K9" s="9" t="str">
        <f t="array" ref="K9">INDEX(BSKW!$K$11:$K$30,IFERROR(MATCH(MIN(IF(BSKW!$D$11:$D$30&gt;AVERAGE(B9,C9),BSKW!$D$11:$D$30)),BSKW!$D$11:$D$30),1))</f>
        <v>-II</v>
      </c>
      <c r="L9" s="12" t="str">
        <f t="array" ref="L9">INDEX(HTKW!$K$11:$K$30,IFERROR(MATCH(MIN(IF(HTKW!$D$11:$D$30&gt;AVERAGE(B9,C9),HTKW!$D$11:$D$30)),HTKW!$D$11:$D$30),1))</f>
        <v>+0</v>
      </c>
    </row>
    <row r="10" spans="2:12" x14ac:dyDescent="0.25">
      <c r="B10" s="8">
        <v>1.6</v>
      </c>
      <c r="C10" s="9">
        <v>2</v>
      </c>
      <c r="D10" s="23" t="str">
        <f>IF(COUNTIF(F10:L10,"D")&gt;0,"D",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)</f>
        <v>+I</v>
      </c>
      <c r="E10" s="23" t="str">
        <f>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</f>
        <v>+I</v>
      </c>
      <c r="F10" s="9" t="str">
        <f t="array" ref="F10">INDEX(STPH!$O$11:$O$30,IFERROR(MATCH(MIN(IF(STPH!$D$11:$D$30&gt;AVERAGE(B10,C10),STPH!$D$11:$D$30)),STPH!$D$11:$D$30),1))</f>
        <v>+III</v>
      </c>
      <c r="G10" s="9" t="str">
        <f t="array" ref="G10">INDEX(STBI!$O$11:$O$30,IFERROR(MATCH(MIN(IF(STBI!$D$11:$D$30&gt;AVERAGE(B10,C10),STBI!$D$11:$D$30)),STBI!$D$11:$D$30),1))</f>
        <v>+I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2</v>
      </c>
      <c r="C11" s="9">
        <v>2.0680000000000001</v>
      </c>
      <c r="D11" s="23" t="str">
        <f>IF(COUNTIF(F11:L11,"D")&gt;0,"D",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)</f>
        <v>D</v>
      </c>
      <c r="E11" s="23" t="str">
        <f>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</f>
        <v>+I</v>
      </c>
      <c r="F11" s="9" t="str">
        <f t="array" ref="F11">INDEX(STPH!$O$11:$O$30,IFERROR(MATCH(MIN(IF(STPH!$D$11:$D$30&gt;AVERAGE(B11,C11),STPH!$D$11:$D$30)),STPH!$D$11:$D$30),1))</f>
        <v>+III</v>
      </c>
      <c r="G11" s="9" t="str">
        <f t="array" ref="G11">INDEX(STBI!$O$11:$O$30,IFERROR(MATCH(MIN(IF(STBI!$D$11:$D$30&gt;AVERAGE(B11,C11),STBI!$D$11:$D$30)),STBI!$D$11:$D$30),1))</f>
        <v>+I</v>
      </c>
      <c r="H11" s="9" t="str">
        <f t="array" ref="H11">INDEX(GEKB!$K$11:$K$30,IFERROR(MATCH(MIN(IF(GEKB!$D$11:$D$30&gt;AVERAGE(B11,C11),GEKB!$D$11:$D$30)),GEKB!$D$11:$D$30),1))</f>
        <v>+II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+III</v>
      </c>
      <c r="K11" s="9" t="str">
        <f t="array" ref="K11">INDEX(BSKW!$K$11:$K$30,IFERROR(MATCH(MIN(IF(BSKW!$D$11:$D$30&gt;AVERAGE(B11,C11),BSKW!$D$11:$D$30)),BSKW!$D$11:$D$30),1))</f>
        <v>+III</v>
      </c>
      <c r="L11" s="12" t="str">
        <f t="array" ref="L11">INDEX(HTKW!$K$11:$K$30,IFERROR(MATCH(MIN(IF(HTKW!$D$11:$D$30&gt;AVERAGE(B11,C11),HTKW!$D$11:$D$30)),HTKW!$D$11:$D$30),1))</f>
        <v>D</v>
      </c>
    </row>
    <row r="12" spans="2:12" x14ac:dyDescent="0.25">
      <c r="B12" s="8"/>
      <c r="C12" s="9"/>
      <c r="D12" s="23"/>
      <c r="E12" s="23"/>
      <c r="F12" s="9"/>
      <c r="G12" s="9"/>
      <c r="H12" s="9"/>
      <c r="I12" s="9"/>
      <c r="J12" s="9"/>
      <c r="K12" s="9"/>
      <c r="L12" s="12"/>
    </row>
    <row r="13" spans="2:12" x14ac:dyDescent="0.25">
      <c r="B13" s="8"/>
      <c r="C13" s="9"/>
      <c r="D13" s="23"/>
      <c r="E13" s="23"/>
      <c r="F13" s="9"/>
      <c r="G13" s="9"/>
      <c r="H13" s="9"/>
      <c r="I13" s="9"/>
      <c r="J13" s="9"/>
      <c r="K13" s="9"/>
      <c r="L13" s="12"/>
    </row>
    <row r="14" spans="2:12" x14ac:dyDescent="0.25">
      <c r="B14" s="8"/>
      <c r="C14" s="9"/>
      <c r="D14" s="23"/>
      <c r="E14" s="23"/>
      <c r="F14" s="9"/>
      <c r="G14" s="9"/>
      <c r="H14" s="9"/>
      <c r="I14" s="9"/>
      <c r="J14" s="9"/>
      <c r="K14" s="9"/>
      <c r="L14" s="12"/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2022-03-08T13:16:15Z</dcterms:modified>
</cp:coreProperties>
</file>