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"/>
    </mc:Choice>
  </mc:AlternateContent>
  <xr:revisionPtr revIDLastSave="0" documentId="13_ncr:1_{9A5C8D36-4DC4-48E6-A9E5-FF71BA629806}" xr6:coauthVersionLast="41" xr6:coauthVersionMax="41" xr10:uidLastSave="{00000000-0000-0000-0000-000000000000}"/>
  <bookViews>
    <workbookView xWindow="-28800" yWindow="5325" windowWidth="28800" windowHeight="15435" tabRatio="653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DEBU" sheetId="4" r:id="rId5"/>
    <sheet name="GEKB" sheetId="5" r:id="rId6"/>
    <sheet name="DA" sheetId="6" r:id="rId7"/>
    <sheet name="STKWp" sheetId="10" r:id="rId8"/>
    <sheet name="HTKW" sheetId="9" r:id="rId9"/>
    <sheet name="Nieuw faalpad met lengte-effect" sheetId="11" r:id="rId10"/>
    <sheet name="Nieuw faalpad zonder lengte-eff" sheetId="12" r:id="rId11"/>
    <sheet name="Veiligheidsoordeel" sheetId="7" r:id="rId12"/>
    <sheet name="Gecombineerd vakoordeel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2" l="1"/>
  <c r="T11" i="12"/>
  <c r="O11" i="12"/>
  <c r="M11" i="12"/>
  <c r="J11" i="12"/>
  <c r="Q11" i="12" s="1" a="1"/>
  <c r="Q11" i="12" s="1"/>
  <c r="R11" i="12" s="1"/>
  <c r="S11" i="12" s="1"/>
  <c r="T10" i="12"/>
  <c r="P10" i="12"/>
  <c r="O10" i="12"/>
  <c r="M10" i="12"/>
  <c r="J10" i="12"/>
  <c r="Q10" i="12" s="1" a="1"/>
  <c r="Q10" i="12" s="1"/>
  <c r="R10" i="12" s="1"/>
  <c r="S10" i="12" s="1"/>
  <c r="W16" i="11"/>
  <c r="W15" i="11"/>
  <c r="W14" i="11"/>
  <c r="W11" i="11"/>
  <c r="W10" i="11"/>
  <c r="K10" i="11"/>
  <c r="C14" i="11"/>
  <c r="C15" i="11" s="1"/>
  <c r="C16" i="11" s="1"/>
  <c r="X16" i="11"/>
  <c r="S16" i="11"/>
  <c r="Q16" i="11"/>
  <c r="M16" i="11"/>
  <c r="O16" i="11" s="1"/>
  <c r="L16" i="11"/>
  <c r="N16" i="11" s="1"/>
  <c r="X15" i="11"/>
  <c r="Q15" i="11"/>
  <c r="M15" i="11"/>
  <c r="U15" i="11" s="1" a="1"/>
  <c r="U15" i="11" s="1"/>
  <c r="V15" i="11" s="1"/>
  <c r="L15" i="11"/>
  <c r="L14" i="11"/>
  <c r="X13" i="11"/>
  <c r="L13" i="11"/>
  <c r="S13" i="11" s="1"/>
  <c r="T13" i="11" s="1"/>
  <c r="H13" i="11"/>
  <c r="M13" i="11" s="1"/>
  <c r="C13" i="11"/>
  <c r="X12" i="11"/>
  <c r="S12" i="11"/>
  <c r="L12" i="11"/>
  <c r="H12" i="11"/>
  <c r="M12" i="11" s="1"/>
  <c r="C12" i="11"/>
  <c r="X11" i="11"/>
  <c r="S11" i="11"/>
  <c r="Q11" i="11"/>
  <c r="M11" i="11"/>
  <c r="U11" i="11" s="1" a="1"/>
  <c r="U11" i="11" s="1"/>
  <c r="V11" i="11" s="1"/>
  <c r="L11" i="11"/>
  <c r="T11" i="11" s="1"/>
  <c r="C11" i="11"/>
  <c r="X10" i="11"/>
  <c r="H10" i="11"/>
  <c r="O14" i="9"/>
  <c r="P14" i="9" s="1"/>
  <c r="O13" i="9"/>
  <c r="O12" i="9"/>
  <c r="O11" i="9"/>
  <c r="O10" i="9"/>
  <c r="O13" i="10"/>
  <c r="O12" i="10"/>
  <c r="O11" i="10"/>
  <c r="O10" i="10"/>
  <c r="O14" i="10"/>
  <c r="O10" i="6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23" i="5"/>
  <c r="S22" i="4"/>
  <c r="S21" i="4"/>
  <c r="S13" i="4"/>
  <c r="S11" i="4"/>
  <c r="S28" i="2"/>
  <c r="S27" i="2"/>
  <c r="S25" i="2"/>
  <c r="S22" i="2"/>
  <c r="S15" i="2"/>
  <c r="S14" i="2"/>
  <c r="S13" i="2"/>
  <c r="S12" i="2"/>
  <c r="S11" i="2"/>
  <c r="S28" i="3"/>
  <c r="S27" i="3"/>
  <c r="S25" i="3"/>
  <c r="S15" i="3"/>
  <c r="S11" i="3"/>
  <c r="K15" i="3"/>
  <c r="T14" i="9"/>
  <c r="Q14" i="9" a="1"/>
  <c r="Q14" i="9" s="1"/>
  <c r="R14" i="9" s="1"/>
  <c r="S14" i="9" s="1"/>
  <c r="N14" i="9"/>
  <c r="M14" i="9"/>
  <c r="J14" i="9"/>
  <c r="K14" i="9" s="1"/>
  <c r="T13" i="9"/>
  <c r="J13" i="9"/>
  <c r="M13" i="9" s="1"/>
  <c r="T12" i="9"/>
  <c r="Q12" i="9" a="1"/>
  <c r="Q12" i="9" s="1"/>
  <c r="R12" i="9" s="1"/>
  <c r="S12" i="9" s="1"/>
  <c r="K12" i="9" s="1"/>
  <c r="P12" i="9"/>
  <c r="N12" i="9"/>
  <c r="M12" i="9"/>
  <c r="J12" i="9"/>
  <c r="T11" i="9"/>
  <c r="J11" i="9"/>
  <c r="C11" i="9"/>
  <c r="D11" i="9" s="1"/>
  <c r="C12" i="9" s="1"/>
  <c r="D12" i="9" s="1"/>
  <c r="C13" i="9" s="1"/>
  <c r="D13" i="9" s="1"/>
  <c r="C14" i="9" s="1"/>
  <c r="T10" i="9"/>
  <c r="Q10" i="9" a="1"/>
  <c r="Q10" i="9" s="1"/>
  <c r="R10" i="9" s="1"/>
  <c r="S10" i="9" s="1"/>
  <c r="M10" i="9"/>
  <c r="J10" i="9"/>
  <c r="C14" i="10"/>
  <c r="C11" i="10"/>
  <c r="D11" i="10" s="1"/>
  <c r="C12" i="10" s="1"/>
  <c r="T14" i="10"/>
  <c r="M14" i="10"/>
  <c r="J14" i="10"/>
  <c r="T13" i="10"/>
  <c r="J13" i="10"/>
  <c r="T12" i="10"/>
  <c r="J12" i="10"/>
  <c r="Q12" i="10" s="1" a="1"/>
  <c r="Q12" i="10" s="1"/>
  <c r="R12" i="10" s="1"/>
  <c r="S12" i="10" s="1"/>
  <c r="K12" i="10" s="1"/>
  <c r="T11" i="10"/>
  <c r="J11" i="10"/>
  <c r="Q11" i="10" s="1" a="1"/>
  <c r="Q11" i="10" s="1"/>
  <c r="R11" i="10" s="1"/>
  <c r="S11" i="10" s="1"/>
  <c r="T10" i="10"/>
  <c r="J10" i="10"/>
  <c r="Q10" i="10" s="1" a="1"/>
  <c r="Q10" i="10" s="1"/>
  <c r="R10" i="10" s="1"/>
  <c r="S10" i="10" s="1"/>
  <c r="W29" i="3"/>
  <c r="W28" i="3"/>
  <c r="W11" i="3"/>
  <c r="W23" i="4"/>
  <c r="W22" i="4"/>
  <c r="W11" i="4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6"/>
  <c r="K11" i="12" l="1"/>
  <c r="N11" i="12"/>
  <c r="N10" i="12"/>
  <c r="K10" i="12"/>
  <c r="P11" i="12"/>
  <c r="O15" i="11"/>
  <c r="N15" i="11"/>
  <c r="R16" i="11"/>
  <c r="M14" i="11"/>
  <c r="N14" i="11" s="1"/>
  <c r="R15" i="11"/>
  <c r="T12" i="11"/>
  <c r="M10" i="11"/>
  <c r="Q10" i="11" s="1"/>
  <c r="U13" i="11" a="1"/>
  <c r="U13" i="11" s="1"/>
  <c r="V13" i="11" s="1"/>
  <c r="W13" i="11" s="1"/>
  <c r="Q13" i="11"/>
  <c r="R13" i="11" s="1"/>
  <c r="N13" i="11"/>
  <c r="U12" i="11" a="1"/>
  <c r="U12" i="11" s="1"/>
  <c r="V12" i="11" s="1"/>
  <c r="W12" i="11" s="1"/>
  <c r="Q12" i="11"/>
  <c r="R12" i="11" s="1"/>
  <c r="N12" i="11"/>
  <c r="S14" i="11"/>
  <c r="T14" i="11" s="1"/>
  <c r="L10" i="11"/>
  <c r="N11" i="11"/>
  <c r="X14" i="11"/>
  <c r="O11" i="11"/>
  <c r="S15" i="11"/>
  <c r="T15" i="11" s="1"/>
  <c r="T16" i="11"/>
  <c r="U16" i="11" a="1"/>
  <c r="U16" i="11" s="1"/>
  <c r="V16" i="11" s="1"/>
  <c r="R11" i="11"/>
  <c r="P10" i="9"/>
  <c r="P13" i="10"/>
  <c r="Q13" i="9" a="1"/>
  <c r="Q13" i="9" s="1"/>
  <c r="R13" i="9" s="1"/>
  <c r="S13" i="9" s="1"/>
  <c r="K13" i="9" s="1"/>
  <c r="M11" i="9"/>
  <c r="N13" i="9"/>
  <c r="P11" i="9"/>
  <c r="Q11" i="9" a="1"/>
  <c r="Q11" i="9" s="1"/>
  <c r="R11" i="9" s="1"/>
  <c r="S11" i="9" s="1"/>
  <c r="K11" i="9" s="1"/>
  <c r="P13" i="9"/>
  <c r="K10" i="9"/>
  <c r="N10" i="9"/>
  <c r="D12" i="10"/>
  <c r="C13" i="10" s="1"/>
  <c r="M12" i="10"/>
  <c r="N12" i="10" s="1"/>
  <c r="P12" i="10"/>
  <c r="N14" i="10"/>
  <c r="Q13" i="10" a="1"/>
  <c r="Q13" i="10" s="1"/>
  <c r="R13" i="10" s="1"/>
  <c r="S13" i="10" s="1"/>
  <c r="K13" i="10" s="1"/>
  <c r="M13" i="10"/>
  <c r="N13" i="10" s="1"/>
  <c r="P14" i="10"/>
  <c r="Q14" i="10" a="1"/>
  <c r="Q14" i="10" s="1"/>
  <c r="R14" i="10" s="1"/>
  <c r="S14" i="10" s="1"/>
  <c r="K14" i="10" s="1"/>
  <c r="K11" i="10"/>
  <c r="M11" i="10"/>
  <c r="N11" i="10" s="1"/>
  <c r="M10" i="10"/>
  <c r="N10" i="10" s="1"/>
  <c r="P10" i="10"/>
  <c r="P11" i="10"/>
  <c r="K10" i="10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K13" i="4"/>
  <c r="K15" i="2"/>
  <c r="C4" i="12" l="1"/>
  <c r="C15" i="7" s="1"/>
  <c r="C6" i="12"/>
  <c r="U10" i="11" a="1"/>
  <c r="U10" i="11" s="1"/>
  <c r="V10" i="11" s="1"/>
  <c r="Q14" i="11"/>
  <c r="R14" i="11" s="1"/>
  <c r="U14" i="11" a="1"/>
  <c r="U14" i="11" s="1"/>
  <c r="V14" i="11" s="1"/>
  <c r="S10" i="11"/>
  <c r="T10" i="11" s="1"/>
  <c r="N10" i="11"/>
  <c r="R10" i="11"/>
  <c r="C4" i="9"/>
  <c r="C13" i="7" s="1"/>
  <c r="N11" i="9"/>
  <c r="C5" i="9" s="1"/>
  <c r="D13" i="7" s="1"/>
  <c r="D13" i="10"/>
  <c r="C6" i="10"/>
  <c r="C5" i="10"/>
  <c r="D12" i="7" s="1"/>
  <c r="C4" i="10"/>
  <c r="C12" i="7" s="1"/>
  <c r="H12" i="7"/>
  <c r="H13" i="7"/>
  <c r="H15" i="7"/>
  <c r="H7" i="7"/>
  <c r="G12" i="7"/>
  <c r="G13" i="7"/>
  <c r="G15" i="7"/>
  <c r="G7" i="7"/>
  <c r="T10" i="6"/>
  <c r="P10" i="6"/>
  <c r="M10" i="6"/>
  <c r="P12" i="5"/>
  <c r="P13" i="5"/>
  <c r="P14" i="5"/>
  <c r="P15" i="5"/>
  <c r="P16" i="5"/>
  <c r="P20" i="5"/>
  <c r="P21" i="5"/>
  <c r="P22" i="5"/>
  <c r="P23" i="5"/>
  <c r="P11" i="5"/>
  <c r="P17" i="5"/>
  <c r="P18" i="5"/>
  <c r="P19" i="5"/>
  <c r="P10" i="5"/>
  <c r="M23" i="5"/>
  <c r="C16" i="5"/>
  <c r="D16" i="5" s="1"/>
  <c r="C17" i="5" s="1"/>
  <c r="D17" i="5" s="1"/>
  <c r="C18" i="5" s="1"/>
  <c r="D18" i="5" s="1"/>
  <c r="C19" i="5" s="1"/>
  <c r="D19" i="5" s="1"/>
  <c r="C20" i="5" s="1"/>
  <c r="D20" i="5" s="1"/>
  <c r="C21" i="5" s="1"/>
  <c r="D21" i="5" s="1"/>
  <c r="C22" i="5" s="1"/>
  <c r="D22" i="5" s="1"/>
  <c r="C23" i="5" s="1"/>
  <c r="C15" i="5"/>
  <c r="C14" i="5"/>
  <c r="C13" i="5"/>
  <c r="C12" i="5"/>
  <c r="M11" i="5"/>
  <c r="C11" i="5"/>
  <c r="C20" i="4"/>
  <c r="C12" i="4"/>
  <c r="X23" i="4"/>
  <c r="S23" i="4"/>
  <c r="Q23" i="4"/>
  <c r="M23" i="4"/>
  <c r="L23" i="4"/>
  <c r="T23" i="4" s="1"/>
  <c r="X22" i="4"/>
  <c r="M22" i="4"/>
  <c r="L22" i="4"/>
  <c r="J21" i="4"/>
  <c r="K21" i="4" s="1"/>
  <c r="M21" i="4" s="1"/>
  <c r="J20" i="4"/>
  <c r="L20" i="4" s="1"/>
  <c r="S20" i="4" s="1"/>
  <c r="H20" i="4"/>
  <c r="J19" i="4"/>
  <c r="X19" i="4" s="1"/>
  <c r="H19" i="4"/>
  <c r="G18" i="4"/>
  <c r="H18" i="4" s="1"/>
  <c r="X17" i="4"/>
  <c r="G17" i="4"/>
  <c r="L17" i="4" s="1"/>
  <c r="S17" i="4" s="1"/>
  <c r="X16" i="4"/>
  <c r="G16" i="4"/>
  <c r="H16" i="4" s="1"/>
  <c r="M16" i="4" s="1"/>
  <c r="C16" i="4"/>
  <c r="D16" i="4" s="1"/>
  <c r="C17" i="4" s="1"/>
  <c r="D17" i="4" s="1"/>
  <c r="C18" i="4" s="1"/>
  <c r="D18" i="4" s="1"/>
  <c r="C19" i="4" s="1"/>
  <c r="D19" i="4" s="1"/>
  <c r="G15" i="4"/>
  <c r="H15" i="4" s="1"/>
  <c r="C15" i="4"/>
  <c r="G14" i="4"/>
  <c r="H14" i="4" s="1"/>
  <c r="C14" i="4"/>
  <c r="X13" i="4"/>
  <c r="M13" i="4"/>
  <c r="Q13" i="4" s="1"/>
  <c r="L13" i="4"/>
  <c r="C13" i="4"/>
  <c r="X12" i="4"/>
  <c r="G12" i="4"/>
  <c r="L12" i="4" s="1"/>
  <c r="S12" i="4" s="1"/>
  <c r="X11" i="4"/>
  <c r="Q11" i="4"/>
  <c r="M11" i="4"/>
  <c r="L11" i="4"/>
  <c r="C11" i="4"/>
  <c r="K10" i="4"/>
  <c r="M10" i="4" s="1"/>
  <c r="H10" i="4"/>
  <c r="X29" i="3"/>
  <c r="S29" i="3"/>
  <c r="R29" i="3"/>
  <c r="Q29" i="3"/>
  <c r="M29" i="3"/>
  <c r="O29" i="3" s="1"/>
  <c r="L29" i="3"/>
  <c r="N29" i="3" s="1"/>
  <c r="X28" i="3"/>
  <c r="O28" i="3" s="1"/>
  <c r="R28" i="3"/>
  <c r="Q28" i="3"/>
  <c r="M28" i="3"/>
  <c r="L28" i="3"/>
  <c r="N28" i="3" s="1"/>
  <c r="X27" i="3"/>
  <c r="K27" i="3"/>
  <c r="M27" i="3" s="1"/>
  <c r="J27" i="3"/>
  <c r="L27" i="3" s="1"/>
  <c r="J26" i="3"/>
  <c r="L26" i="3" s="1"/>
  <c r="S26" i="3" s="1"/>
  <c r="H26" i="3"/>
  <c r="X25" i="3"/>
  <c r="T25" i="3"/>
  <c r="L25" i="3"/>
  <c r="H25" i="3"/>
  <c r="M25" i="3" s="1"/>
  <c r="J24" i="3"/>
  <c r="X24" i="3" s="1"/>
  <c r="H24" i="3"/>
  <c r="G23" i="3"/>
  <c r="J23" i="3" s="1"/>
  <c r="X22" i="3"/>
  <c r="G22" i="3"/>
  <c r="L22" i="3" s="1"/>
  <c r="S22" i="3" s="1"/>
  <c r="J21" i="3"/>
  <c r="X21" i="3" s="1"/>
  <c r="H21" i="3"/>
  <c r="G20" i="3"/>
  <c r="H20" i="3" s="1"/>
  <c r="X19" i="3"/>
  <c r="G19" i="3"/>
  <c r="H19" i="3" s="1"/>
  <c r="M19" i="3" s="1"/>
  <c r="X18" i="3"/>
  <c r="G18" i="3"/>
  <c r="L18" i="3" s="1"/>
  <c r="S18" i="3" s="1"/>
  <c r="D18" i="3"/>
  <c r="C19" i="3" s="1"/>
  <c r="D19" i="3" s="1"/>
  <c r="C20" i="3" s="1"/>
  <c r="D20" i="3" s="1"/>
  <c r="C21" i="3" s="1"/>
  <c r="D21" i="3" s="1"/>
  <c r="C22" i="3" s="1"/>
  <c r="D22" i="3" s="1"/>
  <c r="C23" i="3" s="1"/>
  <c r="D23" i="3" s="1"/>
  <c r="C24" i="3" s="1"/>
  <c r="D24" i="3" s="1"/>
  <c r="C25" i="3" s="1"/>
  <c r="D25" i="3" s="1"/>
  <c r="C26" i="3" s="1"/>
  <c r="D26" i="3" s="1"/>
  <c r="C27" i="3" s="1"/>
  <c r="D27" i="3" s="1"/>
  <c r="C28" i="3" s="1"/>
  <c r="D28" i="3" s="1"/>
  <c r="C29" i="3" s="1"/>
  <c r="D29" i="3" s="1"/>
  <c r="C18" i="3"/>
  <c r="G17" i="3"/>
  <c r="J17" i="3" s="1"/>
  <c r="C17" i="3"/>
  <c r="G16" i="3"/>
  <c r="J16" i="3" s="1"/>
  <c r="X16" i="3" s="1"/>
  <c r="C16" i="3"/>
  <c r="X15" i="3"/>
  <c r="M15" i="3"/>
  <c r="Q15" i="3" s="1"/>
  <c r="R15" i="3" s="1"/>
  <c r="L15" i="3"/>
  <c r="C15" i="3"/>
  <c r="X14" i="3"/>
  <c r="G14" i="3"/>
  <c r="L14" i="3" s="1"/>
  <c r="S14" i="3" s="1"/>
  <c r="C14" i="3"/>
  <c r="X13" i="3"/>
  <c r="G13" i="3"/>
  <c r="L13" i="3" s="1"/>
  <c r="S13" i="3" s="1"/>
  <c r="C13" i="3"/>
  <c r="X12" i="3"/>
  <c r="G12" i="3"/>
  <c r="L12" i="3" s="1"/>
  <c r="S12" i="3" s="1"/>
  <c r="C12" i="3"/>
  <c r="X11" i="3"/>
  <c r="R11" i="3"/>
  <c r="Q11" i="3"/>
  <c r="M11" i="3"/>
  <c r="L11" i="3"/>
  <c r="N11" i="3" s="1"/>
  <c r="C11" i="3"/>
  <c r="K10" i="3"/>
  <c r="M10" i="3" s="1"/>
  <c r="H10" i="3"/>
  <c r="X29" i="2"/>
  <c r="X28" i="2"/>
  <c r="X25" i="2"/>
  <c r="X22" i="2"/>
  <c r="X19" i="2"/>
  <c r="X18" i="2"/>
  <c r="X15" i="2"/>
  <c r="X14" i="2"/>
  <c r="X13" i="2"/>
  <c r="X12" i="2"/>
  <c r="X11" i="2"/>
  <c r="G20" i="2"/>
  <c r="G19" i="2"/>
  <c r="G18" i="2"/>
  <c r="G17" i="2"/>
  <c r="G16" i="2"/>
  <c r="B4" i="13"/>
  <c r="E18" i="13" s="1"/>
  <c r="B3" i="13"/>
  <c r="E15" i="13" s="1"/>
  <c r="S29" i="2"/>
  <c r="Q29" i="2"/>
  <c r="D15" i="7" l="1"/>
  <c r="C4" i="11"/>
  <c r="C14" i="7" s="1"/>
  <c r="G14" i="7" s="1"/>
  <c r="C6" i="11"/>
  <c r="T15" i="3"/>
  <c r="C6" i="9"/>
  <c r="E4" i="13"/>
  <c r="F5" i="13" s="1"/>
  <c r="E13" i="13"/>
  <c r="U21" i="4" s="1" a="1"/>
  <c r="U21" i="4" s="1"/>
  <c r="V21" i="4" s="1"/>
  <c r="W21" i="4" s="1"/>
  <c r="E16" i="13"/>
  <c r="E19" i="13"/>
  <c r="E6" i="13"/>
  <c r="F7" i="13" s="1"/>
  <c r="E7" i="13"/>
  <c r="F8" i="13" s="1"/>
  <c r="E17" i="13"/>
  <c r="E5" i="13"/>
  <c r="F6" i="13" s="1"/>
  <c r="U28" i="3" a="1"/>
  <c r="U28" i="3" s="1"/>
  <c r="V28" i="3" s="1"/>
  <c r="E14" i="13"/>
  <c r="R13" i="4"/>
  <c r="C4" i="6"/>
  <c r="C11" i="7" s="1"/>
  <c r="G11" i="7" s="1"/>
  <c r="N10" i="6"/>
  <c r="J14" i="4"/>
  <c r="X14" i="4" s="1"/>
  <c r="X20" i="4"/>
  <c r="N11" i="5"/>
  <c r="K23" i="5"/>
  <c r="N23" i="5"/>
  <c r="M13" i="5"/>
  <c r="N13" i="5" s="1"/>
  <c r="K22" i="5"/>
  <c r="M10" i="5"/>
  <c r="N10" i="5" s="1"/>
  <c r="M17" i="5"/>
  <c r="N17" i="5" s="1"/>
  <c r="M16" i="5"/>
  <c r="N16" i="5" s="1"/>
  <c r="M22" i="5"/>
  <c r="N22" i="5"/>
  <c r="D20" i="4"/>
  <c r="C21" i="4" s="1"/>
  <c r="D21" i="4" s="1"/>
  <c r="C22" i="4" s="1"/>
  <c r="D22" i="4" s="1"/>
  <c r="C23" i="4" s="1"/>
  <c r="L21" i="4"/>
  <c r="T21" i="4" s="1"/>
  <c r="O22" i="4"/>
  <c r="N11" i="4"/>
  <c r="N23" i="4"/>
  <c r="N22" i="4"/>
  <c r="O23" i="4"/>
  <c r="R11" i="4"/>
  <c r="Q22" i="4"/>
  <c r="T22" i="4"/>
  <c r="R23" i="4"/>
  <c r="T13" i="4"/>
  <c r="K20" i="4"/>
  <c r="M20" i="4" s="1"/>
  <c r="Q20" i="4" s="1"/>
  <c r="J15" i="4"/>
  <c r="K15" i="4" s="1"/>
  <c r="M15" i="4" s="1"/>
  <c r="J18" i="4"/>
  <c r="X18" i="4" s="1"/>
  <c r="L10" i="4"/>
  <c r="L16" i="4"/>
  <c r="K19" i="4"/>
  <c r="M19" i="4" s="1"/>
  <c r="Q19" i="4" s="1"/>
  <c r="L19" i="4"/>
  <c r="Q10" i="4"/>
  <c r="R10" i="4" s="1"/>
  <c r="Q16" i="4"/>
  <c r="R16" i="4" s="1"/>
  <c r="T12" i="4"/>
  <c r="T17" i="4"/>
  <c r="Q21" i="4"/>
  <c r="R21" i="4" s="1"/>
  <c r="X21" i="4"/>
  <c r="R22" i="4"/>
  <c r="X10" i="4"/>
  <c r="T11" i="4"/>
  <c r="L21" i="3"/>
  <c r="H12" i="4"/>
  <c r="M12" i="4" s="1"/>
  <c r="N12" i="4" s="1"/>
  <c r="T20" i="4"/>
  <c r="N13" i="4"/>
  <c r="H17" i="4"/>
  <c r="M17" i="4" s="1"/>
  <c r="J20" i="3"/>
  <c r="X20" i="3" s="1"/>
  <c r="K21" i="3"/>
  <c r="M21" i="3" s="1"/>
  <c r="Q21" i="3" s="1"/>
  <c r="R21" i="3" s="1"/>
  <c r="L19" i="3"/>
  <c r="X26" i="3"/>
  <c r="X10" i="3"/>
  <c r="H22" i="3"/>
  <c r="M22" i="3" s="1"/>
  <c r="N22" i="3" s="1"/>
  <c r="H16" i="3"/>
  <c r="K26" i="3"/>
  <c r="M26" i="3" s="1"/>
  <c r="T18" i="3"/>
  <c r="T12" i="3"/>
  <c r="Q27" i="3"/>
  <c r="R27" i="3" s="1"/>
  <c r="T13" i="3"/>
  <c r="K23" i="3"/>
  <c r="M23" i="3" s="1"/>
  <c r="X23" i="3"/>
  <c r="L23" i="3"/>
  <c r="S23" i="3" s="1"/>
  <c r="T22" i="3"/>
  <c r="Q10" i="3"/>
  <c r="T14" i="3"/>
  <c r="L17" i="3"/>
  <c r="S17" i="3" s="1"/>
  <c r="K17" i="3"/>
  <c r="M17" i="3" s="1"/>
  <c r="X17" i="3"/>
  <c r="Q25" i="3"/>
  <c r="R25" i="3" s="1"/>
  <c r="N25" i="3"/>
  <c r="N27" i="3"/>
  <c r="T27" i="3"/>
  <c r="T11" i="3"/>
  <c r="H12" i="3"/>
  <c r="M12" i="3" s="1"/>
  <c r="H13" i="3"/>
  <c r="M13" i="3" s="1"/>
  <c r="H14" i="3"/>
  <c r="M14" i="3" s="1"/>
  <c r="K16" i="3"/>
  <c r="M16" i="3" s="1"/>
  <c r="H17" i="3"/>
  <c r="L24" i="3"/>
  <c r="S24" i="3" s="1"/>
  <c r="T26" i="3"/>
  <c r="T29" i="3"/>
  <c r="N15" i="3"/>
  <c r="L16" i="3"/>
  <c r="S16" i="3" s="1"/>
  <c r="Q19" i="3"/>
  <c r="R19" i="3" s="1"/>
  <c r="T28" i="3"/>
  <c r="K24" i="3"/>
  <c r="M24" i="3" s="1"/>
  <c r="L10" i="3"/>
  <c r="S10" i="3" s="1"/>
  <c r="H18" i="3"/>
  <c r="M18" i="3" s="1"/>
  <c r="H23" i="3"/>
  <c r="J27" i="2"/>
  <c r="X27" i="2" s="1"/>
  <c r="M28" i="2"/>
  <c r="M11" i="2"/>
  <c r="L11" i="2"/>
  <c r="N11" i="2" s="1"/>
  <c r="L28" i="2"/>
  <c r="H12" i="2"/>
  <c r="H13" i="2"/>
  <c r="H14" i="2"/>
  <c r="H16" i="2"/>
  <c r="H17" i="2"/>
  <c r="H18" i="2"/>
  <c r="H19" i="2"/>
  <c r="H20" i="2"/>
  <c r="H21" i="2"/>
  <c r="H22" i="2"/>
  <c r="H23" i="2"/>
  <c r="H24" i="2"/>
  <c r="H25" i="2"/>
  <c r="H26" i="2"/>
  <c r="H10" i="2"/>
  <c r="C12" i="2"/>
  <c r="C13" i="2"/>
  <c r="C14" i="2"/>
  <c r="C15" i="2"/>
  <c r="C16" i="2"/>
  <c r="C17" i="2"/>
  <c r="C18" i="2"/>
  <c r="D18" i="2" s="1"/>
  <c r="C19" i="2" s="1"/>
  <c r="D19" i="2" s="1"/>
  <c r="C20" i="2" s="1"/>
  <c r="D20" i="2" s="1"/>
  <c r="C21" i="2" s="1"/>
  <c r="D21" i="2" s="1"/>
  <c r="C22" i="2" s="1"/>
  <c r="D22" i="2" s="1"/>
  <c r="C23" i="2" s="1"/>
  <c r="D23" i="2" s="1"/>
  <c r="C24" i="2" s="1"/>
  <c r="D24" i="2" s="1"/>
  <c r="C25" i="2" s="1"/>
  <c r="D25" i="2" s="1"/>
  <c r="C26" i="2" s="1"/>
  <c r="D26" i="2" s="1"/>
  <c r="C27" i="2" s="1"/>
  <c r="D27" i="2" s="1"/>
  <c r="C28" i="2" s="1"/>
  <c r="D28" i="2" s="1"/>
  <c r="C29" i="2" s="1"/>
  <c r="D29" i="2" s="1"/>
  <c r="C11" i="2"/>
  <c r="C5" i="11" l="1"/>
  <c r="D14" i="7" s="1"/>
  <c r="H14" i="7" s="1"/>
  <c r="S19" i="4"/>
  <c r="T19" i="4" s="1"/>
  <c r="N16" i="4"/>
  <c r="S16" i="4"/>
  <c r="T16" i="4" s="1"/>
  <c r="S10" i="4"/>
  <c r="T10" i="4" s="1"/>
  <c r="S19" i="3"/>
  <c r="T19" i="3" s="1"/>
  <c r="S21" i="3"/>
  <c r="T21" i="3" s="1"/>
  <c r="U27" i="3" a="1"/>
  <c r="U27" i="3" s="1"/>
  <c r="V27" i="3" s="1"/>
  <c r="W27" i="3" s="1"/>
  <c r="Q20" i="5" a="1"/>
  <c r="Q20" i="5" s="1"/>
  <c r="R20" i="5" s="1"/>
  <c r="Q11" i="5" a="1"/>
  <c r="Q11" i="5" s="1"/>
  <c r="R11" i="5" s="1"/>
  <c r="Q13" i="5" a="1"/>
  <c r="Q13" i="5" s="1"/>
  <c r="R13" i="5" s="1"/>
  <c r="U10" i="3" a="1"/>
  <c r="U10" i="3" s="1"/>
  <c r="V10" i="3" s="1"/>
  <c r="W10" i="3" s="1"/>
  <c r="U16" i="4" a="1"/>
  <c r="U16" i="4" s="1"/>
  <c r="V16" i="4" s="1"/>
  <c r="W16" i="4" s="1"/>
  <c r="U15" i="4" a="1"/>
  <c r="U15" i="4" s="1"/>
  <c r="V15" i="4" s="1"/>
  <c r="W15" i="4" s="1"/>
  <c r="U13" i="4" a="1"/>
  <c r="U13" i="4" s="1"/>
  <c r="V13" i="4" s="1"/>
  <c r="W13" i="4" s="1"/>
  <c r="Q16" i="5" a="1"/>
  <c r="Q16" i="5" s="1"/>
  <c r="R16" i="5" s="1"/>
  <c r="U26" i="3" a="1"/>
  <c r="U26" i="3" s="1"/>
  <c r="V26" i="3" s="1"/>
  <c r="W26" i="3" s="1"/>
  <c r="U11" i="3" a="1"/>
  <c r="U11" i="3" s="1"/>
  <c r="V11" i="3" s="1"/>
  <c r="U22" i="4" a="1"/>
  <c r="U22" i="4" s="1"/>
  <c r="V22" i="4" s="1"/>
  <c r="U10" i="4" a="1"/>
  <c r="U10" i="4" s="1"/>
  <c r="V10" i="4" s="1"/>
  <c r="W10" i="4" s="1"/>
  <c r="Q17" i="5" a="1"/>
  <c r="Q17" i="5" s="1"/>
  <c r="R17" i="5" s="1"/>
  <c r="Q10" i="6" a="1"/>
  <c r="Q10" i="6" s="1"/>
  <c r="R10" i="6" s="1"/>
  <c r="Q21" i="5" a="1"/>
  <c r="Q21" i="5" s="1"/>
  <c r="R21" i="5" s="1"/>
  <c r="U23" i="4" a="1"/>
  <c r="U23" i="4" s="1"/>
  <c r="V23" i="4" s="1"/>
  <c r="Q23" i="5" a="1"/>
  <c r="Q23" i="5" s="1"/>
  <c r="R23" i="5" s="1"/>
  <c r="U29" i="3" a="1"/>
  <c r="U29" i="3" s="1"/>
  <c r="V29" i="3" s="1"/>
  <c r="Q22" i="5" a="1"/>
  <c r="Q22" i="5" s="1"/>
  <c r="R22" i="5" s="1"/>
  <c r="U25" i="3" a="1"/>
  <c r="U25" i="3" s="1"/>
  <c r="V25" i="3" s="1"/>
  <c r="W25" i="3" s="1"/>
  <c r="U15" i="3" a="1"/>
  <c r="U15" i="3" s="1"/>
  <c r="V15" i="3" s="1"/>
  <c r="W15" i="3" s="1"/>
  <c r="O15" i="3" s="1"/>
  <c r="U19" i="3" a="1"/>
  <c r="U19" i="3" s="1"/>
  <c r="V19" i="3" s="1"/>
  <c r="W19" i="3" s="1"/>
  <c r="U11" i="4" a="1"/>
  <c r="U11" i="4" s="1"/>
  <c r="V11" i="4" s="1"/>
  <c r="K14" i="4"/>
  <c r="M14" i="4" s="1"/>
  <c r="U14" i="4" s="1" a="1"/>
  <c r="U14" i="4" s="1"/>
  <c r="V14" i="4" s="1"/>
  <c r="W14" i="4" s="1"/>
  <c r="C6" i="6"/>
  <c r="C5" i="6"/>
  <c r="D11" i="7" s="1"/>
  <c r="H11" i="7" s="1"/>
  <c r="L14" i="4"/>
  <c r="M21" i="5"/>
  <c r="N21" i="5" s="1"/>
  <c r="Q10" i="5" a="1"/>
  <c r="Q10" i="5" s="1"/>
  <c r="R10" i="5" s="1"/>
  <c r="S10" i="5" s="1"/>
  <c r="M20" i="5"/>
  <c r="N20" i="5" s="1"/>
  <c r="X15" i="4"/>
  <c r="N20" i="4"/>
  <c r="M19" i="5"/>
  <c r="N19" i="5" s="1"/>
  <c r="Q19" i="5" a="1"/>
  <c r="Q19" i="5" s="1"/>
  <c r="R19" i="5" s="1"/>
  <c r="Q15" i="5" a="1"/>
  <c r="Q15" i="5" s="1"/>
  <c r="R15" i="5" s="1"/>
  <c r="M15" i="5"/>
  <c r="N15" i="5" s="1"/>
  <c r="M14" i="5"/>
  <c r="N14" i="5" s="1"/>
  <c r="Q14" i="5" a="1"/>
  <c r="Q14" i="5" s="1"/>
  <c r="R14" i="5" s="1"/>
  <c r="M12" i="5"/>
  <c r="N12" i="5" s="1"/>
  <c r="Q12" i="5" a="1"/>
  <c r="Q12" i="5" s="1"/>
  <c r="R12" i="5" s="1"/>
  <c r="R19" i="4"/>
  <c r="M18" i="5"/>
  <c r="N18" i="5" s="1"/>
  <c r="Q18" i="5" a="1"/>
  <c r="Q18" i="5" s="1"/>
  <c r="R18" i="5" s="1"/>
  <c r="N19" i="3"/>
  <c r="Q15" i="4"/>
  <c r="R15" i="4" s="1"/>
  <c r="U19" i="4" a="1"/>
  <c r="U19" i="4" s="1"/>
  <c r="V19" i="4" s="1"/>
  <c r="W19" i="4" s="1"/>
  <c r="L20" i="3"/>
  <c r="N26" i="3"/>
  <c r="N21" i="4"/>
  <c r="U20" i="4" a="1"/>
  <c r="U20" i="4" s="1"/>
  <c r="V20" i="4" s="1"/>
  <c r="W20" i="4" s="1"/>
  <c r="R20" i="4"/>
  <c r="N10" i="4"/>
  <c r="L18" i="4"/>
  <c r="Q26" i="3"/>
  <c r="R26" i="3" s="1"/>
  <c r="K18" i="4"/>
  <c r="M18" i="4" s="1"/>
  <c r="L15" i="4"/>
  <c r="S15" i="4" s="1"/>
  <c r="N19" i="4"/>
  <c r="U21" i="3" a="1"/>
  <c r="U21" i="3" s="1"/>
  <c r="V21" i="3" s="1"/>
  <c r="W21" i="3" s="1"/>
  <c r="Q12" i="4"/>
  <c r="R12" i="4" s="1"/>
  <c r="U12" i="4" a="1"/>
  <c r="U12" i="4" s="1"/>
  <c r="V12" i="4" s="1"/>
  <c r="W12" i="4" s="1"/>
  <c r="U17" i="4" a="1"/>
  <c r="U17" i="4" s="1"/>
  <c r="V17" i="4" s="1"/>
  <c r="W17" i="4" s="1"/>
  <c r="Q17" i="4"/>
  <c r="R17" i="4" s="1"/>
  <c r="N17" i="4"/>
  <c r="K20" i="3"/>
  <c r="M20" i="3" s="1"/>
  <c r="U20" i="3" s="1" a="1"/>
  <c r="U20" i="3" s="1"/>
  <c r="V20" i="3" s="1"/>
  <c r="W20" i="3" s="1"/>
  <c r="N21" i="3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N13" i="3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N24" i="3"/>
  <c r="Q12" i="3"/>
  <c r="R12" i="3" s="1"/>
  <c r="U12" i="3" a="1"/>
  <c r="U12" i="3" s="1"/>
  <c r="V12" i="3" s="1"/>
  <c r="W12" i="3" s="1"/>
  <c r="N14" i="3"/>
  <c r="N10" i="3"/>
  <c r="T10" i="3"/>
  <c r="R10" i="3"/>
  <c r="N16" i="3"/>
  <c r="T16" i="3"/>
  <c r="N18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N23" i="3"/>
  <c r="Q16" i="3"/>
  <c r="R16" i="3" s="1"/>
  <c r="U16" i="3" a="1"/>
  <c r="U16" i="3" s="1"/>
  <c r="V16" i="3" s="1"/>
  <c r="W16" i="3" s="1"/>
  <c r="N17" i="3"/>
  <c r="T17" i="3"/>
  <c r="N12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N28" i="2"/>
  <c r="M29" i="2"/>
  <c r="M19" i="2"/>
  <c r="U19" i="2" s="1" a="1"/>
  <c r="U19" i="2" s="1"/>
  <c r="M18" i="2"/>
  <c r="U18" i="2" s="1" a="1"/>
  <c r="U18" i="2" s="1"/>
  <c r="M25" i="2"/>
  <c r="U25" i="2" s="1" a="1"/>
  <c r="U25" i="2" s="1"/>
  <c r="M14" i="2"/>
  <c r="U14" i="2" s="1" a="1"/>
  <c r="U14" i="2" s="1"/>
  <c r="M22" i="2"/>
  <c r="U22" i="2" s="1" a="1"/>
  <c r="U22" i="2" s="1"/>
  <c r="M13" i="2"/>
  <c r="U13" i="2" s="1" a="1"/>
  <c r="U13" i="2" s="1"/>
  <c r="M15" i="2"/>
  <c r="U15" i="2" s="1" a="1"/>
  <c r="U15" i="2" s="1"/>
  <c r="M12" i="2"/>
  <c r="U12" i="2" s="1" a="1"/>
  <c r="U12" i="2" s="1"/>
  <c r="L18" i="2"/>
  <c r="S18" i="2" s="1"/>
  <c r="L25" i="2"/>
  <c r="L19" i="2"/>
  <c r="S19" i="2" s="1"/>
  <c r="L29" i="2"/>
  <c r="L12" i="2"/>
  <c r="L14" i="2"/>
  <c r="L22" i="2"/>
  <c r="L15" i="2"/>
  <c r="L13" i="2"/>
  <c r="J26" i="2"/>
  <c r="X26" i="2" s="1"/>
  <c r="J20" i="2"/>
  <c r="X20" i="2" s="1"/>
  <c r="J21" i="2"/>
  <c r="X21" i="2" s="1"/>
  <c r="J23" i="2"/>
  <c r="X23" i="2" s="1"/>
  <c r="J24" i="2"/>
  <c r="X24" i="2" s="1"/>
  <c r="J10" i="2"/>
  <c r="X10" i="2" s="1"/>
  <c r="J16" i="2"/>
  <c r="X16" i="2" s="1"/>
  <c r="J17" i="2"/>
  <c r="X17" i="2" s="1"/>
  <c r="Q14" i="4" l="1"/>
  <c r="R14" i="4" s="1"/>
  <c r="S18" i="4"/>
  <c r="T18" i="4" s="1"/>
  <c r="S14" i="4"/>
  <c r="T14" i="4" s="1"/>
  <c r="S20" i="3"/>
  <c r="T20" i="3" s="1"/>
  <c r="W11" i="2"/>
  <c r="O11" i="2" s="1"/>
  <c r="O11" i="4"/>
  <c r="O11" i="3"/>
  <c r="K11" i="5"/>
  <c r="W28" i="2"/>
  <c r="O28" i="2" s="1"/>
  <c r="N14" i="4"/>
  <c r="C5" i="5"/>
  <c r="D10" i="7" s="1"/>
  <c r="H10" i="7" s="1"/>
  <c r="C6" i="5"/>
  <c r="C4" i="5"/>
  <c r="C10" i="7" s="1"/>
  <c r="G10" i="7" s="1"/>
  <c r="N18" i="4"/>
  <c r="U18" i="4" a="1"/>
  <c r="U18" i="4" s="1"/>
  <c r="V18" i="4" s="1"/>
  <c r="W18" i="4" s="1"/>
  <c r="Q18" i="4"/>
  <c r="R18" i="4" s="1"/>
  <c r="N20" i="3"/>
  <c r="T15" i="4"/>
  <c r="N15" i="4"/>
  <c r="Q20" i="3"/>
  <c r="R20" i="3" s="1"/>
  <c r="R29" i="2"/>
  <c r="U29" i="2" a="1"/>
  <c r="U29" i="2" s="1"/>
  <c r="V29" i="2" s="1"/>
  <c r="O29" i="2"/>
  <c r="V19" i="2"/>
  <c r="V12" i="2"/>
  <c r="O12" i="11" s="1"/>
  <c r="V15" i="2"/>
  <c r="V25" i="2"/>
  <c r="V18" i="2"/>
  <c r="V13" i="2"/>
  <c r="O13" i="11" s="1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N14" i="2"/>
  <c r="N22" i="2"/>
  <c r="N19" i="2"/>
  <c r="N25" i="2"/>
  <c r="N15" i="2"/>
  <c r="N29" i="2"/>
  <c r="N12" i="2"/>
  <c r="N13" i="2"/>
  <c r="N18" i="2"/>
  <c r="L27" i="2"/>
  <c r="K27" i="2"/>
  <c r="M27" i="2" s="1"/>
  <c r="U27" i="2" s="1" a="1"/>
  <c r="U27" i="2" s="1"/>
  <c r="L26" i="2"/>
  <c r="S26" i="2" s="1"/>
  <c r="K26" i="2"/>
  <c r="M26" i="2" s="1"/>
  <c r="U26" i="2" s="1" a="1"/>
  <c r="U26" i="2" s="1"/>
  <c r="L24" i="2"/>
  <c r="S24" i="2" s="1"/>
  <c r="K24" i="2"/>
  <c r="M24" i="2" s="1"/>
  <c r="U24" i="2" s="1" a="1"/>
  <c r="U24" i="2" s="1"/>
  <c r="L23" i="2"/>
  <c r="S23" i="2" s="1"/>
  <c r="K23" i="2"/>
  <c r="M23" i="2" s="1"/>
  <c r="U23" i="2" s="1" a="1"/>
  <c r="U23" i="2" s="1"/>
  <c r="L20" i="2"/>
  <c r="S20" i="2" s="1"/>
  <c r="K20" i="2"/>
  <c r="M20" i="2" s="1"/>
  <c r="U20" i="2" s="1" a="1"/>
  <c r="U20" i="2" s="1"/>
  <c r="L21" i="2"/>
  <c r="S21" i="2" s="1"/>
  <c r="K21" i="2"/>
  <c r="M21" i="2" s="1"/>
  <c r="U21" i="2" s="1" a="1"/>
  <c r="U21" i="2" s="1"/>
  <c r="L17" i="2"/>
  <c r="S17" i="2" s="1"/>
  <c r="K17" i="2"/>
  <c r="M17" i="2" s="1"/>
  <c r="U17" i="2" s="1" a="1"/>
  <c r="U17" i="2" s="1"/>
  <c r="L16" i="2"/>
  <c r="S16" i="2" s="1"/>
  <c r="K16" i="2"/>
  <c r="M16" i="2" s="1"/>
  <c r="U16" i="2" s="1" a="1"/>
  <c r="U16" i="2" s="1"/>
  <c r="L10" i="2"/>
  <c r="S10" i="2" s="1"/>
  <c r="K10" i="2"/>
  <c r="M10" i="2" s="1"/>
  <c r="U10" i="2" s="1" a="1"/>
  <c r="U10" i="2" s="1"/>
  <c r="C6" i="3" l="1"/>
  <c r="C4" i="3"/>
  <c r="C8" i="7" s="1"/>
  <c r="G8" i="7" s="1"/>
  <c r="W29" i="2"/>
  <c r="C4" i="4"/>
  <c r="C9" i="7" s="1"/>
  <c r="G9" i="7" s="1"/>
  <c r="W15" i="2"/>
  <c r="O15" i="2" s="1"/>
  <c r="O13" i="4"/>
  <c r="K13" i="5"/>
  <c r="O17" i="4"/>
  <c r="K17" i="5"/>
  <c r="O12" i="4"/>
  <c r="K12" i="5"/>
  <c r="O16" i="4"/>
  <c r="K16" i="5"/>
  <c r="C5" i="3"/>
  <c r="D8" i="7" s="1"/>
  <c r="H8" i="7" s="1"/>
  <c r="C5" i="4"/>
  <c r="D9" i="7" s="1"/>
  <c r="H9" i="7" s="1"/>
  <c r="C6" i="4"/>
  <c r="W12" i="2"/>
  <c r="O12" i="2" s="1"/>
  <c r="O12" i="3"/>
  <c r="W19" i="2"/>
  <c r="O19" i="2" s="1"/>
  <c r="O19" i="3"/>
  <c r="W14" i="2"/>
  <c r="O14" i="2" s="1"/>
  <c r="O14" i="3"/>
  <c r="W22" i="2"/>
  <c r="O22" i="2" s="1"/>
  <c r="O22" i="3"/>
  <c r="W13" i="2"/>
  <c r="O13" i="2" s="1"/>
  <c r="O13" i="3"/>
  <c r="W18" i="2"/>
  <c r="O18" i="2" s="1"/>
  <c r="O18" i="3"/>
  <c r="W25" i="2"/>
  <c r="O25" i="2" s="1"/>
  <c r="O25" i="3"/>
  <c r="V20" i="2"/>
  <c r="V27" i="2"/>
  <c r="O14" i="11" s="1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27" i="2"/>
  <c r="N24" i="2"/>
  <c r="N17" i="2"/>
  <c r="N26" i="2"/>
  <c r="N20" i="2"/>
  <c r="N23" i="2"/>
  <c r="N21" i="2"/>
  <c r="N10" i="2"/>
  <c r="N16" i="2"/>
  <c r="O14" i="4" l="1"/>
  <c r="K14" i="5"/>
  <c r="O15" i="4"/>
  <c r="K15" i="5"/>
  <c r="O18" i="4"/>
  <c r="K18" i="5"/>
  <c r="O19" i="4"/>
  <c r="K19" i="5"/>
  <c r="O20" i="4"/>
  <c r="K20" i="5"/>
  <c r="O21" i="4"/>
  <c r="K21" i="5"/>
  <c r="W20" i="2"/>
  <c r="O20" i="2" s="1"/>
  <c r="O20" i="3"/>
  <c r="W16" i="2"/>
  <c r="O16" i="2" s="1"/>
  <c r="O16" i="3"/>
  <c r="W23" i="2"/>
  <c r="O23" i="2" s="1"/>
  <c r="O23" i="3"/>
  <c r="W17" i="2"/>
  <c r="O17" i="2" s="1"/>
  <c r="O17" i="3"/>
  <c r="W27" i="2"/>
  <c r="O27" i="2" s="1"/>
  <c r="O27" i="3"/>
  <c r="W21" i="2"/>
  <c r="O21" i="2" s="1"/>
  <c r="O21" i="3"/>
  <c r="W26" i="2"/>
  <c r="O26" i="2" s="1"/>
  <c r="O26" i="3"/>
  <c r="W24" i="2"/>
  <c r="O24" i="2" s="1"/>
  <c r="O24" i="3"/>
  <c r="V10" i="2"/>
  <c r="O10" i="11" s="1"/>
  <c r="C4" i="2"/>
  <c r="C7" i="7" s="1"/>
  <c r="D2" i="7" s="1"/>
  <c r="R10" i="2"/>
  <c r="K10" i="6" l="1"/>
  <c r="G2" i="7" a="1"/>
  <c r="G2" i="7" s="1"/>
  <c r="H2" i="7" s="1"/>
  <c r="E2" i="7" s="1"/>
  <c r="O10" i="4"/>
  <c r="K10" i="5"/>
  <c r="W10" i="2"/>
  <c r="O10" i="2" s="1"/>
  <c r="O10" i="3"/>
  <c r="C5" i="2"/>
  <c r="D7" i="7" s="1"/>
  <c r="C6" i="2"/>
  <c r="D3" i="7" l="1"/>
  <c r="G3" i="7" s="1" a="1"/>
  <c r="G3" i="7" s="1"/>
  <c r="H3" i="7" s="1"/>
  <c r="E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tc={5BAB8BAE-E28D-42B8-A157-4BF7B72095EB}</author>
  </authors>
  <commentList>
    <comment ref="C5" authorId="0" shapeId="0" xr:uid="{5BAB8BAE-E28D-42B8-A157-4BF7B72095EB}">
      <text>
        <t>[Threaded comment]
Your version of Excel allows you to read this threaded comment; however, any edits to it will get removed if the file is opened in a newer version of Excel. Learn more: https://go.microsoft.com/fwlink/?linkid=870924
Comment:
    Dit zou ook GR moeten opleveren.</t>
      </text>
    </comment>
  </commentList>
</comments>
</file>

<file path=xl/sharedStrings.xml><?xml version="1.0" encoding="utf-8"?>
<sst xmlns="http://schemas.openxmlformats.org/spreadsheetml/2006/main" count="687" uniqueCount="122">
  <si>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</si>
  <si>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</si>
  <si>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</si>
  <si>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</si>
  <si>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</si>
  <si>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</si>
  <si>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</si>
  <si>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</si>
  <si>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</si>
  <si>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</si>
  <si>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</si>
  <si>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</si>
  <si>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</si>
  <si>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</si>
  <si>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</si>
  <si>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</si>
  <si>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</si>
  <si>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</si>
  <si>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</si>
  <si>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</si>
  <si>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</si>
  <si>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</si>
  <si>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</si>
  <si>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</si>
  <si>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</si>
  <si>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</si>
  <si>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</si>
  <si>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</si>
  <si>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</si>
  <si>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</si>
  <si>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</si>
  <si>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</si>
  <si>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</si>
  <si>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</si>
  <si>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</si>
  <si>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</si>
  <si>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</si>
  <si>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</si>
  <si>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</si>
  <si>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</si>
  <si>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</si>
  <si>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</si>
  <si>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</si>
  <si>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</si>
  <si>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</si>
  <si>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</si>
  <si>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</si>
  <si>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</si>
  <si>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</si>
  <si>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</si>
  <si>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</si>
  <si>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</si>
  <si>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</si>
  <si>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</si>
  <si>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</si>
  <si>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</si>
  <si>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</si>
  <si>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</si>
  <si>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</si>
  <si>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</si>
  <si>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</si>
  <si>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</si>
  <si>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14-2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</si>
  <si>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</si>
  <si>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</si>
  <si>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</si>
  <si>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</si>
  <si>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</si>
  <si>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</si>
  <si>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</si>
  <si>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</si>
  <si>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</si>
  <si>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</si>
  <si>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</si>
  <si>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</si>
  <si>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</si>
  <si>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</si>
  <si>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</si>
  <si>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</si>
  <si>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</si>
  <si>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</si>
  <si>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DEBU</t>
  </si>
  <si>
    <t>GEKB</t>
  </si>
  <si>
    <t>DA</t>
  </si>
  <si>
    <t>STKWp</t>
  </si>
  <si>
    <t>HTKW</t>
  </si>
  <si>
    <t>Nieuw faalpad met lengte-effect</t>
  </si>
  <si>
    <t>Nieuw faalpad zonder lengte-effect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</si>
  <si>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</si>
  <si>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</si>
  <si>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</si>
  <si>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</si>
  <si>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</si>
  <si>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</si>
  <si>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</si>
  <si>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</si>
  <si>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</si>
  <si>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</si>
  <si>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</si>
  <si>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</si>
  <si>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</si>
  <si>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</si>
  <si>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</si>
  <si>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</si>
  <si>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</si>
  <si>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</si>
  <si>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</si>
  <si>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</si>
  <si>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</si>
  <si>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</si>
  <si>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</si>
  <si>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</si>
  <si>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</si>
  <si>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</si>
  <si>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</si>
  <si>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</si>
  <si>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</si>
  <si>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</si>
  <si>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Kunstwerk 1</t>
  </si>
  <si>
    <t>Kunstwerk 2</t>
  </si>
  <si>
    <t>Graverijen</t>
  </si>
  <si>
    <t>Nog een faalpad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</si>
</sst>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1-11-15T08:45:24.93" personId="{0A6E75D8-8A15-480F-92DB-ED92D58D909F}" id="{5BAB8BAE-E28D-42B8-A157-4BF7B72095EB}">
    <text>Dit zou ook GR moeten opleveren.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96</v>
      </c>
      <c r="C2" s="53" t="s">
        <v>99</v>
      </c>
      <c r="D2" s="53" t="s">
        <v>97</v>
      </c>
      <c r="E2" s="53" t="s">
        <v>107</v>
      </c>
      <c r="F2" s="54" t="s">
        <v>98</v>
      </c>
    </row>
    <row r="3" spans="2:6" x14ac:dyDescent="0.25">
      <c r="B3" s="8" t="s">
        <v>58</v>
      </c>
      <c r="C3" s="9" t="s">
        <v>79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76</v>
      </c>
      <c r="C4" s="9" t="s">
        <v>80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100</v>
      </c>
      <c r="C5" s="9" t="s">
        <v>116</v>
      </c>
      <c r="D5" s="9" t="s">
        <v>29</v>
      </c>
      <c r="E5" s="9" t="s">
        <v>28</v>
      </c>
      <c r="F5" s="12" t="s">
        <v>109</v>
      </c>
    </row>
    <row r="6" spans="2:6" x14ac:dyDescent="0.25">
      <c r="B6" s="8" t="s">
        <v>105</v>
      </c>
      <c r="C6" s="9" t="s">
        <v>110</v>
      </c>
      <c r="D6" s="9" t="s">
        <v>28</v>
      </c>
      <c r="E6" s="9" t="s">
        <v>108</v>
      </c>
      <c r="F6" s="12" t="s">
        <v>29</v>
      </c>
    </row>
    <row r="7" spans="2:6" x14ac:dyDescent="0.25">
      <c r="B7" s="8" t="s">
        <v>101</v>
      </c>
      <c r="C7" s="9" t="s">
        <v>85</v>
      </c>
      <c r="D7" s="9" t="s">
        <v>28</v>
      </c>
      <c r="E7" s="9" t="s">
        <v>108</v>
      </c>
      <c r="F7" s="12" t="s">
        <v>29</v>
      </c>
    </row>
    <row r="8" spans="2:6" x14ac:dyDescent="0.25">
      <c r="B8" s="8" t="s">
        <v>102</v>
      </c>
      <c r="C8" s="9" t="s">
        <v>111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103</v>
      </c>
      <c r="C9" s="9" t="s">
        <v>84</v>
      </c>
      <c r="D9" s="9" t="s">
        <v>28</v>
      </c>
      <c r="E9" s="9" t="s">
        <v>108</v>
      </c>
      <c r="F9" s="12" t="s">
        <v>29</v>
      </c>
    </row>
    <row r="10" spans="2:6" x14ac:dyDescent="0.25">
      <c r="B10" s="8" t="s">
        <v>104</v>
      </c>
      <c r="C10" s="9" t="s">
        <v>106</v>
      </c>
      <c r="D10" s="9" t="s">
        <v>29</v>
      </c>
      <c r="E10" s="9" t="s">
        <v>108</v>
      </c>
      <c r="F10" s="12" t="s">
        <v>29</v>
      </c>
    </row>
    <row r="11" spans="2:6" x14ac:dyDescent="0.25">
      <c r="B11" s="8" t="s">
        <v>78</v>
      </c>
      <c r="C11" s="9" t="s">
        <v>83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112</v>
      </c>
      <c r="C12" s="14" t="s">
        <v>113</v>
      </c>
      <c r="D12" s="14" t="s">
        <v>29</v>
      </c>
      <c r="E12" s="14" t="s">
        <v>29</v>
      </c>
      <c r="F12" s="17" t="s">
        <v>109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E20" sqref="E20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62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1</v>
      </c>
    </row>
    <row r="5" spans="1:6" x14ac:dyDescent="0.25"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0</v>
      </c>
      <c r="F8" s="27">
        <f>E7</f>
        <v>0.03</v>
      </c>
    </row>
    <row r="11" spans="1:6" ht="15.75" thickBot="1" x14ac:dyDescent="0.3">
      <c r="D11" s="2" t="s">
        <v>115</v>
      </c>
    </row>
    <row r="12" spans="1:6" ht="15.75" thickBot="1" x14ac:dyDescent="0.3">
      <c r="D12" s="52" t="s">
        <v>114</v>
      </c>
      <c r="E12" s="54" t="s">
        <v>47</v>
      </c>
    </row>
    <row r="13" spans="1:6" x14ac:dyDescent="0.25">
      <c r="D13" s="55" t="s">
        <v>63</v>
      </c>
      <c r="E13" s="26">
        <f>1/30*B3</f>
        <v>1.111111111111111E-5</v>
      </c>
    </row>
    <row r="14" spans="1:6" x14ac:dyDescent="0.25">
      <c r="D14" s="56" t="s">
        <v>64</v>
      </c>
      <c r="E14" s="26">
        <f>1/10*B3</f>
        <v>3.3333333333333335E-5</v>
      </c>
    </row>
    <row r="15" spans="1:6" x14ac:dyDescent="0.25">
      <c r="D15" s="57" t="s">
        <v>65</v>
      </c>
      <c r="E15" s="26">
        <f>1/3*B3</f>
        <v>1.111111111111111E-4</v>
      </c>
    </row>
    <row r="16" spans="1:6" x14ac:dyDescent="0.25">
      <c r="D16" s="58" t="s">
        <v>66</v>
      </c>
      <c r="E16" s="26">
        <f>B3</f>
        <v>3.3333333333333332E-4</v>
      </c>
    </row>
    <row r="17" spans="2:5" x14ac:dyDescent="0.25">
      <c r="D17" s="59" t="s">
        <v>67</v>
      </c>
      <c r="E17" s="26">
        <f>B4</f>
        <v>1E-3</v>
      </c>
    </row>
    <row r="18" spans="2:5" x14ac:dyDescent="0.25">
      <c r="D18" s="60" t="s">
        <v>68</v>
      </c>
      <c r="E18" s="26">
        <f>3*B4</f>
        <v>3.0000000000000001E-3</v>
      </c>
    </row>
    <row r="19" spans="2:5" x14ac:dyDescent="0.25">
      <c r="D19" s="61" t="s">
        <v>69</v>
      </c>
      <c r="E19" s="26">
        <f>10*B4</f>
        <v>0.01</v>
      </c>
    </row>
    <row r="20" spans="2:5" x14ac:dyDescent="0.25">
      <c r="D20" s="62" t="s">
        <v>70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71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Y30" sqref="A1:Y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1.4</v>
      </c>
    </row>
    <row r="4" spans="2:25" x14ac:dyDescent="0.25">
      <c r="B4" s="40" t="s">
        <v>55</v>
      </c>
      <c r="C4" s="26" t="str">
        <f ca="1">IFERROR(MIN(1-PRODUCT(Q10:Q29),MAX(S10:S29)),"GR")</f>
        <v>GR</v>
      </c>
    </row>
    <row r="5" spans="2:25" x14ac:dyDescent="0.25">
      <c r="B5" s="40" t="s">
        <v>49</v>
      </c>
      <c r="C5" s="26">
        <f ca="1">MIN(1-PRODUCT(R10:R29),MAX(T10:T29))</f>
        <v>8.3945236884950633E-2</v>
      </c>
    </row>
    <row r="6" spans="2:25" ht="15.75" thickBot="1" x14ac:dyDescent="0.3">
      <c r="B6" s="41" t="s">
        <v>56</v>
      </c>
      <c r="C6" s="17" t="str">
        <f ca="1">IF(1-PRODUCT(R10:R29)&gt;MAX(T10:T29),"Ja","Nee")</f>
        <v>Ja</v>
      </c>
    </row>
    <row r="8" spans="2:25" ht="15.75" thickBot="1" x14ac:dyDescent="0.3">
      <c r="Q8" t="s">
        <v>75</v>
      </c>
    </row>
    <row r="9" spans="2:25" ht="60.75" thickBot="1" x14ac:dyDescent="0.3">
      <c r="B9" s="18" t="s">
        <v>0</v>
      </c>
      <c r="C9" s="19" t="s">
        <v>1</v>
      </c>
      <c r="D9" s="19" t="s">
        <v>93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72</v>
      </c>
      <c r="V9" s="38" t="s">
        <v>73</v>
      </c>
      <c r="W9" s="4"/>
      <c r="X9" s="39" t="s">
        <v>74</v>
      </c>
      <c r="Y9" s="35"/>
    </row>
    <row r="10" spans="2:25" x14ac:dyDescent="0.25">
      <c r="B10" s="3" t="s">
        <v>8</v>
      </c>
      <c r="C10" s="4">
        <v>0</v>
      </c>
      <c r="D10" s="4">
        <v>80</v>
      </c>
      <c r="E10" s="22" t="s">
        <v>28</v>
      </c>
      <c r="F10" s="3" t="s">
        <v>32</v>
      </c>
      <c r="G10" s="5">
        <v>0.06</v>
      </c>
      <c r="H10" s="25">
        <f ca="1">G10*(1+RAND()*4)</f>
        <v>0.15959572549755857</v>
      </c>
      <c r="I10" s="3" t="s">
        <v>28</v>
      </c>
      <c r="J10" s="5">
        <f ca="1">G10-0.0002*RAND()</f>
        <v>5.9960883489250452E-2</v>
      </c>
      <c r="K10" s="25">
        <f ca="1">J10*MAX(1+RAND()*1.4)</f>
        <v>9.2621287125665502E-2</v>
      </c>
      <c r="L10" s="29">
        <f t="shared" ref="L10:L27" ca="1" si="0">IF($E10="Nee",0,IF(ISNUMBER(J10),J10,IF(ISNUMBER(G10),G10,"-")))</f>
        <v>5.9960883489250452E-2</v>
      </c>
      <c r="M10" s="5">
        <f t="shared" ref="M10:M29" ca="1" si="1">IF($E10="Nee",0,IF(ISNUMBER(K10),K10,IF(ISNUMBER(H10),H10,"-")))</f>
        <v>9.2621287125665502E-2</v>
      </c>
      <c r="N10" s="6">
        <f t="shared" ref="N10:N27" ca="1" si="2">IF(ISNUMBER(L10),IF(M10=0,1,M10/L10),"-")</f>
        <v>1.5446951701815781</v>
      </c>
      <c r="O10" s="30" t="str">
        <f t="shared" ref="O10:O27" ca="1" si="3">IF(ISNUMBER($M10),W10,IF($X10,"D","ND"))</f>
        <v>-III</v>
      </c>
      <c r="Q10" s="31">
        <f t="shared" ref="Q10:Q28" ca="1" si="4">IF(AND(F10="Geen faalkans",I10="Nee"),1,1-M10)</f>
        <v>0.90737871287433447</v>
      </c>
      <c r="R10" s="10">
        <f ca="1">IF(M10="-",1,Q10)</f>
        <v>0.90737871287433447</v>
      </c>
      <c r="S10" s="10">
        <f t="shared" ref="S10:S28" ca="1" si="5">IF(AND(F10="Geen faalkans",I10="Nee"),0,L10*$C$3)</f>
        <v>8.3945236884950633E-2</v>
      </c>
      <c r="T10" s="10">
        <f ca="1">IF(L10="-",0,S10)</f>
        <v>8.3945236884950633E-2</v>
      </c>
      <c r="U10" s="9">
        <f t="array" aca="1" ref="U10" ca="1">MIN(IF('Normen en duidingsklassen'!$E$13:$E$20&gt;$M10,'Normen en duidingsklassen'!$E$13:$E$20))</f>
        <v>1</v>
      </c>
      <c r="V10" s="9">
        <f ca="1">IFERROR(MATCH($U10,'Normen en duidingsklassen'!$E$13:$E$20),1)</f>
        <v>8</v>
      </c>
      <c r="W10" s="9" t="str">
        <f ca="1">INDEX('Normen en duidingsklassen'!$D$13:$D$20,STPH!V10)</f>
        <v>-III</v>
      </c>
      <c r="X10" s="12" t="b">
        <f ca="1">IF($E10="Ja",IF($I10="Ja",NOT(ISNUMBER($J10)),FALSE),FALSE)</f>
        <v>0</v>
      </c>
    </row>
    <row r="11" spans="2:25" x14ac:dyDescent="0.25">
      <c r="B11" s="8" t="s">
        <v>9</v>
      </c>
      <c r="C11" s="9">
        <f>D10</f>
        <v>80</v>
      </c>
      <c r="D11" s="9">
        <v>110</v>
      </c>
      <c r="E11" s="23" t="s">
        <v>29</v>
      </c>
      <c r="F11" s="8" t="s">
        <v>33</v>
      </c>
      <c r="G11" s="10"/>
      <c r="H11" s="26"/>
      <c r="I11" s="8" t="s">
        <v>29</v>
      </c>
      <c r="J11" s="10"/>
      <c r="K11" s="26"/>
      <c r="L11" s="31">
        <f t="shared" si="0"/>
        <v>0</v>
      </c>
      <c r="M11" s="10">
        <f t="shared" si="1"/>
        <v>0</v>
      </c>
      <c r="N11" s="11">
        <f t="shared" si="2"/>
        <v>1</v>
      </c>
      <c r="O11" s="32" t="str">
        <f t="shared" si="3"/>
        <v>+III</v>
      </c>
      <c r="Q11" s="31">
        <f t="shared" si="4"/>
        <v>1</v>
      </c>
      <c r="R11" s="10">
        <f t="shared" ref="R11:R29" si="6">IF(M11="-",1,Q11)</f>
        <v>1</v>
      </c>
      <c r="S11" s="10">
        <f t="shared" si="5"/>
        <v>0</v>
      </c>
      <c r="T11" s="10">
        <f t="shared" ref="T11:T29" si="7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10</v>
      </c>
      <c r="C12" s="9">
        <f t="shared" ref="C12:C29" si="9">D11</f>
        <v>110</v>
      </c>
      <c r="D12" s="9">
        <v>300</v>
      </c>
      <c r="E12" s="23" t="s">
        <v>28</v>
      </c>
      <c r="F12" s="8" t="s">
        <v>32</v>
      </c>
      <c r="G12" s="10">
        <v>7.5300000000000003E-9</v>
      </c>
      <c r="H12" s="26">
        <f t="shared" ref="H12:H19" ca="1" si="10">G12*(1+RAND()*4)</f>
        <v>2.0236700170280183E-8</v>
      </c>
      <c r="I12" s="8" t="s">
        <v>29</v>
      </c>
      <c r="J12" s="10"/>
      <c r="K12" s="26"/>
      <c r="L12" s="31">
        <f t="shared" si="0"/>
        <v>7.5300000000000003E-9</v>
      </c>
      <c r="M12" s="10">
        <f t="shared" ca="1" si="1"/>
        <v>2.0236700170280183E-8</v>
      </c>
      <c r="N12" s="11">
        <f t="shared" ca="1" si="2"/>
        <v>2.687476782241724</v>
      </c>
      <c r="O12" s="32" t="str">
        <f t="shared" ca="1" si="3"/>
        <v>+III</v>
      </c>
      <c r="Q12" s="31">
        <f t="shared" ca="1" si="4"/>
        <v>0.9999999797632998</v>
      </c>
      <c r="R12" s="10">
        <f t="shared" ca="1" si="6"/>
        <v>0.9999999797632998</v>
      </c>
      <c r="S12" s="10">
        <f t="shared" si="5"/>
        <v>1.0541999999999999E-8</v>
      </c>
      <c r="T12" s="10">
        <f t="shared" si="7"/>
        <v>1.0541999999999999E-8</v>
      </c>
      <c r="U12" s="9">
        <f t="array" aca="1" ref="U12" ca="1">MIN(IF('Normen en duidingsklassen'!$E$13:$E$20&gt;$M12,'Normen en duidingsklassen'!$E$13:$E$20))</f>
        <v>1.111111111111111E-5</v>
      </c>
      <c r="V12" s="9">
        <f ca="1">IFERROR(MATCH($U12,'Normen en duidingsklassen'!$E$13:$E$20),1)</f>
        <v>1</v>
      </c>
      <c r="W12" s="9" t="str">
        <f ca="1"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f t="shared" si="9"/>
        <v>300</v>
      </c>
      <c r="D13" s="9">
        <v>450</v>
      </c>
      <c r="E13" s="23" t="s">
        <v>28</v>
      </c>
      <c r="F13" s="8" t="s">
        <v>32</v>
      </c>
      <c r="G13" s="10">
        <v>3.6399999999999998E-11</v>
      </c>
      <c r="H13" s="26">
        <f t="shared" ca="1" si="10"/>
        <v>7.6990135019280925E-11</v>
      </c>
      <c r="I13" s="8" t="s">
        <v>29</v>
      </c>
      <c r="J13" s="10"/>
      <c r="K13" s="26"/>
      <c r="L13" s="31">
        <f t="shared" si="0"/>
        <v>3.6399999999999998E-11</v>
      </c>
      <c r="M13" s="10">
        <f t="shared" ca="1" si="1"/>
        <v>7.6990135019280925E-11</v>
      </c>
      <c r="N13" s="11">
        <f t="shared" ca="1" si="2"/>
        <v>2.1151135994307948</v>
      </c>
      <c r="O13" s="32" t="str">
        <f t="shared" ca="1" si="3"/>
        <v>+III</v>
      </c>
      <c r="Q13" s="31">
        <f t="shared" ca="1" si="4"/>
        <v>0.99999999992300992</v>
      </c>
      <c r="R13" s="10">
        <f t="shared" ca="1" si="6"/>
        <v>0.99999999992300992</v>
      </c>
      <c r="S13" s="10">
        <f t="shared" si="5"/>
        <v>5.0959999999999991E-11</v>
      </c>
      <c r="T13" s="10">
        <f t="shared" si="7"/>
        <v>5.0959999999999991E-11</v>
      </c>
      <c r="U13" s="9">
        <f t="array" aca="1" ref="U13" ca="1">MIN(IF('Normen en duidingsklassen'!$E$13:$E$20&gt;$M13,'Normen en duidingsklassen'!$E$13:$E$20))</f>
        <v>1.111111111111111E-5</v>
      </c>
      <c r="V13" s="9">
        <f ca="1">IFERROR(MATCH($U13,'Normen en duidingsklassen'!$E$13:$E$20),1)</f>
        <v>1</v>
      </c>
      <c r="W13" s="9" t="str">
        <f ca="1"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f t="shared" si="9"/>
        <v>450</v>
      </c>
      <c r="D14" s="9">
        <v>700</v>
      </c>
      <c r="E14" s="23" t="s">
        <v>28</v>
      </c>
      <c r="F14" s="8" t="s">
        <v>32</v>
      </c>
      <c r="G14" s="10">
        <v>5.3000000000000001E-6</v>
      </c>
      <c r="H14" s="26">
        <f t="shared" ca="1" si="10"/>
        <v>7.1918556625020322E-6</v>
      </c>
      <c r="I14" s="8" t="s">
        <v>29</v>
      </c>
      <c r="J14" s="10"/>
      <c r="K14" s="26"/>
      <c r="L14" s="31">
        <f t="shared" si="0"/>
        <v>5.3000000000000001E-6</v>
      </c>
      <c r="M14" s="10">
        <f t="shared" ca="1" si="1"/>
        <v>7.1918556625020322E-6</v>
      </c>
      <c r="N14" s="11">
        <f t="shared" ca="1" si="2"/>
        <v>1.3569538985852891</v>
      </c>
      <c r="O14" s="32" t="str">
        <f t="shared" ca="1" si="3"/>
        <v>+III</v>
      </c>
      <c r="Q14" s="31">
        <f t="shared" ca="1" si="4"/>
        <v>0.99999280814433755</v>
      </c>
      <c r="R14" s="10">
        <f t="shared" ca="1" si="6"/>
        <v>0.99999280814433755</v>
      </c>
      <c r="S14" s="10">
        <f t="shared" si="5"/>
        <v>7.4199999999999993E-6</v>
      </c>
      <c r="T14" s="10">
        <f t="shared" si="7"/>
        <v>7.4199999999999993E-6</v>
      </c>
      <c r="U14" s="9">
        <f t="array" aca="1" ref="U14" ca="1">MIN(IF('Normen en duidingsklassen'!$E$13:$E$20&gt;$M14,'Normen en duidingsklassen'!$E$13:$E$20))</f>
        <v>1.111111111111111E-5</v>
      </c>
      <c r="V14" s="9">
        <f ca="1">IFERROR(MATCH($U14,'Normen en duidingsklassen'!$E$13:$E$20),1)</f>
        <v>1</v>
      </c>
      <c r="W14" s="9" t="str">
        <f ca="1"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13</v>
      </c>
      <c r="C15" s="9">
        <f t="shared" si="9"/>
        <v>700</v>
      </c>
      <c r="D15" s="9">
        <v>910</v>
      </c>
      <c r="E15" s="23" t="s">
        <v>28</v>
      </c>
      <c r="F15" s="8" t="s">
        <v>34</v>
      </c>
      <c r="G15" s="10"/>
      <c r="H15" s="26"/>
      <c r="I15" s="8" t="s">
        <v>28</v>
      </c>
      <c r="J15" s="10">
        <v>9.9999999999999995E-7</v>
      </c>
      <c r="K15" s="26">
        <f t="shared" ref="K15:K17" ca="1" si="11">J15*MAX(1+RAND()*1.4)</f>
        <v>1.7606380212264319E-6</v>
      </c>
      <c r="L15" s="31">
        <f t="shared" si="0"/>
        <v>9.9999999999999995E-7</v>
      </c>
      <c r="M15" s="10">
        <f t="shared" ca="1" si="1"/>
        <v>1.7606380212264319E-6</v>
      </c>
      <c r="N15" s="11">
        <f t="shared" ca="1" si="2"/>
        <v>1.7606380212264321</v>
      </c>
      <c r="O15" s="32" t="str">
        <f t="shared" ca="1" si="3"/>
        <v>+III</v>
      </c>
      <c r="Q15" s="31">
        <f t="shared" ca="1" si="4"/>
        <v>0.99999823936197874</v>
      </c>
      <c r="R15" s="10">
        <f t="shared" ca="1" si="6"/>
        <v>0.99999823936197874</v>
      </c>
      <c r="S15" s="10">
        <f t="shared" si="5"/>
        <v>1.3999999999999999E-6</v>
      </c>
      <c r="T15" s="10">
        <f t="shared" si="7"/>
        <v>1.3999999999999999E-6</v>
      </c>
      <c r="U15" s="9">
        <f t="array" aca="1" ref="U15" ca="1">MIN(IF('Normen en duidingsklassen'!$E$13:$E$20&gt;$M15,'Normen en duidingsklassen'!$E$13:$E$20))</f>
        <v>1.111111111111111E-5</v>
      </c>
      <c r="V15" s="9">
        <f ca="1">IFERROR(MATCH($U15,'Normen en duidingsklassen'!$E$13:$E$20),1)</f>
        <v>1</v>
      </c>
      <c r="W15" s="9" t="str">
        <f ca="1"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f t="shared" si="9"/>
        <v>910</v>
      </c>
      <c r="D16" s="9">
        <v>1200</v>
      </c>
      <c r="E16" s="23" t="s">
        <v>28</v>
      </c>
      <c r="F16" s="8" t="s">
        <v>34</v>
      </c>
      <c r="G16" s="10">
        <f t="shared" ref="G16:G20" ca="1" si="12">0.00001+RAND()*0.0012</f>
        <v>9.2238705364986438E-4</v>
      </c>
      <c r="H16" s="26">
        <f t="shared" ca="1" si="10"/>
        <v>3.1576173874223934E-3</v>
      </c>
      <c r="I16" s="8" t="s">
        <v>28</v>
      </c>
      <c r="J16" s="10">
        <f t="shared" ref="J16:J17" ca="1" si="13">G16-0.0002*RAND()</f>
        <v>8.962784624305212E-4</v>
      </c>
      <c r="K16" s="26">
        <f t="shared" ca="1" si="11"/>
        <v>2.132030801990612E-3</v>
      </c>
      <c r="L16" s="31">
        <f t="shared" ca="1" si="0"/>
        <v>8.962784624305212E-4</v>
      </c>
      <c r="M16" s="10">
        <f t="shared" ca="1" si="1"/>
        <v>2.132030801990612E-3</v>
      </c>
      <c r="N16" s="11">
        <f t="shared" ca="1" si="2"/>
        <v>2.3787593826688491</v>
      </c>
      <c r="O16" s="32" t="str">
        <f t="shared" ca="1" si="3"/>
        <v>-I</v>
      </c>
      <c r="Q16" s="31">
        <f t="shared" ca="1" si="4"/>
        <v>0.99786796919800935</v>
      </c>
      <c r="R16" s="10">
        <f t="shared" ca="1" si="6"/>
        <v>0.99786796919800935</v>
      </c>
      <c r="S16" s="10">
        <f t="shared" ca="1" si="5"/>
        <v>1.2547898474027297E-3</v>
      </c>
      <c r="T16" s="10">
        <f t="shared" ca="1" si="7"/>
        <v>1.2547898474027297E-3</v>
      </c>
      <c r="U16" s="9">
        <f t="array" aca="1" ref="U16" ca="1">MIN(IF('Normen en duidingsklassen'!$E$13:$E$20&gt;$M16,'Normen en duidingsklassen'!$E$13:$E$20))</f>
        <v>3.0000000000000001E-3</v>
      </c>
      <c r="V16" s="9">
        <f ca="1">IFERROR(MATCH($U16,'Normen en duidingsklassen'!$E$13:$E$20),1)</f>
        <v>6</v>
      </c>
      <c r="W16" s="9" t="str">
        <f ca="1">INDEX('Normen en duidingsklassen'!$D$13:$D$20,STPH!V16)</f>
        <v>-I</v>
      </c>
      <c r="X16" s="12" t="b">
        <f t="shared" ca="1" si="8"/>
        <v>0</v>
      </c>
    </row>
    <row r="17" spans="2:24" x14ac:dyDescent="0.25">
      <c r="B17" s="8" t="s">
        <v>15</v>
      </c>
      <c r="C17" s="9">
        <f t="shared" si="9"/>
        <v>1200</v>
      </c>
      <c r="D17" s="9">
        <v>1400</v>
      </c>
      <c r="E17" s="23" t="s">
        <v>28</v>
      </c>
      <c r="F17" s="8" t="s">
        <v>34</v>
      </c>
      <c r="G17" s="10">
        <f t="shared" ca="1" si="12"/>
        <v>3.0570540298967229E-5</v>
      </c>
      <c r="H17" s="26">
        <f t="shared" ca="1" si="10"/>
        <v>1.1371487789648076E-4</v>
      </c>
      <c r="I17" s="8" t="s">
        <v>28</v>
      </c>
      <c r="J17" s="10">
        <f t="shared" ca="1" si="13"/>
        <v>1.6970505300999646E-5</v>
      </c>
      <c r="K17" s="26">
        <f t="shared" ca="1" si="11"/>
        <v>2.8056920731939974E-5</v>
      </c>
      <c r="L17" s="31">
        <f t="shared" ca="1" si="0"/>
        <v>1.6970505300999646E-5</v>
      </c>
      <c r="M17" s="10">
        <f t="shared" ca="1" si="1"/>
        <v>2.8056920731939974E-5</v>
      </c>
      <c r="N17" s="11">
        <f t="shared" ca="1" si="2"/>
        <v>1.6532755056083854</v>
      </c>
      <c r="O17" s="32" t="str">
        <f t="shared" ca="1" si="3"/>
        <v>+II</v>
      </c>
      <c r="Q17" s="31">
        <f t="shared" ca="1" si="4"/>
        <v>0.99997194307926807</v>
      </c>
      <c r="R17" s="10">
        <f t="shared" ca="1" si="6"/>
        <v>0.99997194307926807</v>
      </c>
      <c r="S17" s="10">
        <f t="shared" ca="1" si="5"/>
        <v>2.3758707421399504E-5</v>
      </c>
      <c r="T17" s="10">
        <f t="shared" ca="1" si="7"/>
        <v>2.3758707421399504E-5</v>
      </c>
      <c r="U17" s="9">
        <f t="array" aca="1" ref="U17" ca="1">MIN(IF('Normen en duidingsklassen'!$E$13:$E$20&gt;$M17,'Normen en duidingsklassen'!$E$13:$E$20))</f>
        <v>3.3333333333333335E-5</v>
      </c>
      <c r="V17" s="9">
        <f ca="1">IFERROR(MATCH($U17,'Normen en duidingsklassen'!$E$13:$E$20),1)</f>
        <v>2</v>
      </c>
      <c r="W17" s="9" t="str">
        <f ca="1">INDEX('Normen en duidingsklassen'!$D$13:$D$20,STPH!V17)</f>
        <v>+II</v>
      </c>
      <c r="X17" s="12" t="b">
        <f t="shared" ca="1" si="8"/>
        <v>0</v>
      </c>
    </row>
    <row r="18" spans="2:24" x14ac:dyDescent="0.25">
      <c r="B18" s="8" t="s">
        <v>16</v>
      </c>
      <c r="C18" s="9">
        <f t="shared" si="9"/>
        <v>1400</v>
      </c>
      <c r="D18" s="9">
        <f>C18+200</f>
        <v>1600</v>
      </c>
      <c r="E18" s="23" t="s">
        <v>28</v>
      </c>
      <c r="F18" s="8" t="s">
        <v>34</v>
      </c>
      <c r="G18" s="10">
        <f t="shared" ca="1" si="12"/>
        <v>1.0188626763554716E-3</v>
      </c>
      <c r="H18" s="26">
        <f t="shared" ca="1" si="10"/>
        <v>4.1384782935228511E-3</v>
      </c>
      <c r="I18" s="8" t="s">
        <v>29</v>
      </c>
      <c r="J18" s="10"/>
      <c r="K18" s="26"/>
      <c r="L18" s="31">
        <f t="shared" ca="1" si="0"/>
        <v>1.0188626763554716E-3</v>
      </c>
      <c r="M18" s="10">
        <f t="shared" ca="1" si="1"/>
        <v>4.1384782935228511E-3</v>
      </c>
      <c r="N18" s="11">
        <f t="shared" ca="1" si="2"/>
        <v>4.0618607291871935</v>
      </c>
      <c r="O18" s="32" t="str">
        <f t="shared" ca="1" si="3"/>
        <v>-II</v>
      </c>
      <c r="Q18" s="31">
        <f t="shared" ca="1" si="4"/>
        <v>0.99586152170647713</v>
      </c>
      <c r="R18" s="10">
        <f t="shared" ca="1" si="6"/>
        <v>0.99586152170647713</v>
      </c>
      <c r="S18" s="10">
        <f t="shared" ca="1" si="5"/>
        <v>1.42640774689766E-3</v>
      </c>
      <c r="T18" s="10">
        <f t="shared" ca="1" si="7"/>
        <v>1.42640774689766E-3</v>
      </c>
      <c r="U18" s="9">
        <f t="array" aca="1" ref="U18" ca="1">MIN(IF('Normen en duidingsklassen'!$E$13:$E$20&gt;$M18,'Normen en duidingsklassen'!$E$13:$E$20))</f>
        <v>0.01</v>
      </c>
      <c r="V18" s="9">
        <f ca="1">IFERROR(MATCH($U18,'Normen en duidingsklassen'!$E$13:$E$20),1)</f>
        <v>7</v>
      </c>
      <c r="W18" s="9" t="str">
        <f ca="1"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17</v>
      </c>
      <c r="C19" s="9">
        <f t="shared" si="9"/>
        <v>1600</v>
      </c>
      <c r="D19" s="9">
        <f t="shared" ref="D19:D29" si="14">C19+200</f>
        <v>1800</v>
      </c>
      <c r="E19" s="23" t="s">
        <v>28</v>
      </c>
      <c r="F19" s="8" t="s">
        <v>34</v>
      </c>
      <c r="G19" s="10">
        <f t="shared" ca="1" si="12"/>
        <v>5.1023869560665842E-4</v>
      </c>
      <c r="H19" s="26">
        <f t="shared" ca="1" si="10"/>
        <v>5.4736435846525981E-4</v>
      </c>
      <c r="I19" s="8" t="s">
        <v>29</v>
      </c>
      <c r="J19" s="10"/>
      <c r="K19" s="26"/>
      <c r="L19" s="31">
        <f t="shared" ca="1" si="0"/>
        <v>5.1023869560665842E-4</v>
      </c>
      <c r="M19" s="10">
        <f t="shared" ca="1" si="1"/>
        <v>5.4736435846525981E-4</v>
      </c>
      <c r="N19" s="11">
        <f t="shared" ca="1" si="2"/>
        <v>1.0727613628254127</v>
      </c>
      <c r="O19" s="32" t="str">
        <f t="shared" ca="1" si="3"/>
        <v>0</v>
      </c>
      <c r="Q19" s="31">
        <f t="shared" ca="1" si="4"/>
        <v>0.99945263564153475</v>
      </c>
      <c r="R19" s="10">
        <f t="shared" ca="1" si="6"/>
        <v>0.99945263564153475</v>
      </c>
      <c r="S19" s="10">
        <f t="shared" ca="1" si="5"/>
        <v>7.1433417384932172E-4</v>
      </c>
      <c r="T19" s="10">
        <f t="shared" ca="1" si="7"/>
        <v>7.1433417384932172E-4</v>
      </c>
      <c r="U19" s="9">
        <f t="array" aca="1" ref="U19" ca="1">MIN(IF('Normen en duidingsklassen'!$E$13:$E$20&gt;$M19,'Normen en duidingsklassen'!$E$13:$E$20))</f>
        <v>1E-3</v>
      </c>
      <c r="V19" s="9">
        <f ca="1">IFERROR(MATCH($U19,'Normen en duidingsklassen'!$E$13:$E$20),1)</f>
        <v>5</v>
      </c>
      <c r="W19" s="9" t="str">
        <f ca="1"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18</v>
      </c>
      <c r="C20" s="9">
        <f t="shared" si="9"/>
        <v>1800</v>
      </c>
      <c r="D20" s="9">
        <f t="shared" si="14"/>
        <v>2000</v>
      </c>
      <c r="E20" s="23" t="s">
        <v>28</v>
      </c>
      <c r="F20" s="8" t="s">
        <v>34</v>
      </c>
      <c r="G20" s="10">
        <f t="shared" ca="1" si="12"/>
        <v>8.332513068157845E-4</v>
      </c>
      <c r="H20" s="26">
        <f ca="1">G20*(1+RAND()*4)</f>
        <v>3.050776927673928E-3</v>
      </c>
      <c r="I20" s="8" t="s">
        <v>28</v>
      </c>
      <c r="J20" s="10">
        <f t="shared" ref="J20:J21" ca="1" si="15">G20-0.0002*RAND()</f>
        <v>8.1034094485013671E-4</v>
      </c>
      <c r="K20" s="26">
        <f t="shared" ref="K20:K21" ca="1" si="16">J20*MAX(1+RAND()*1.4)</f>
        <v>8.8572607378378636E-4</v>
      </c>
      <c r="L20" s="31">
        <f t="shared" ca="1" si="0"/>
        <v>8.1034094485013671E-4</v>
      </c>
      <c r="M20" s="10">
        <f t="shared" ca="1" si="1"/>
        <v>8.8572607378378636E-4</v>
      </c>
      <c r="N20" s="11">
        <f t="shared" ca="1" si="2"/>
        <v>1.0930289027263596</v>
      </c>
      <c r="O20" s="32" t="str">
        <f t="shared" ca="1" si="3"/>
        <v>0</v>
      </c>
      <c r="Q20" s="31">
        <f t="shared" ca="1" si="4"/>
        <v>0.99911427392621621</v>
      </c>
      <c r="R20" s="10">
        <f t="shared" ca="1" si="6"/>
        <v>0.99911427392621621</v>
      </c>
      <c r="S20" s="10">
        <f t="shared" ca="1" si="5"/>
        <v>1.1344773227901913E-3</v>
      </c>
      <c r="T20" s="10">
        <f t="shared" ca="1" si="7"/>
        <v>1.1344773227901913E-3</v>
      </c>
      <c r="U20" s="9">
        <f t="array" aca="1" ref="U20" ca="1">MIN(IF('Normen en duidingsklassen'!$E$13:$E$20&gt;$M20,'Normen en duidingsklassen'!$E$13:$E$20))</f>
        <v>1E-3</v>
      </c>
      <c r="V20" s="9">
        <f ca="1">IFERROR(MATCH($U20,'Normen en duidingsklassen'!$E$13:$E$20),1)</f>
        <v>5</v>
      </c>
      <c r="W20" s="9" t="str">
        <f ca="1">INDEX('Normen en duidingsklassen'!$D$13:$D$20,STPH!V20)</f>
        <v>0</v>
      </c>
      <c r="X20" s="12" t="b">
        <f t="shared" ca="1" si="8"/>
        <v>0</v>
      </c>
    </row>
    <row r="21" spans="2:24" x14ac:dyDescent="0.25">
      <c r="B21" s="8" t="s">
        <v>19</v>
      </c>
      <c r="C21" s="9">
        <f t="shared" si="9"/>
        <v>2000</v>
      </c>
      <c r="D21" s="9">
        <f t="shared" si="14"/>
        <v>2200</v>
      </c>
      <c r="E21" s="23" t="s">
        <v>28</v>
      </c>
      <c r="F21" s="8" t="s">
        <v>32</v>
      </c>
      <c r="G21" s="10">
        <v>4.2300000000000002E-7</v>
      </c>
      <c r="H21" s="26">
        <f t="shared" ref="H21:H26" ca="1" si="17">G21*(1+RAND()*4)</f>
        <v>8.0003696656928673E-7</v>
      </c>
      <c r="I21" s="8" t="s">
        <v>28</v>
      </c>
      <c r="J21" s="10">
        <f t="shared" ca="1" si="15"/>
        <v>-8.5494219778094695E-5</v>
      </c>
      <c r="K21" s="26">
        <f t="shared" ca="1" si="16"/>
        <v>-8.8787040250399167E-5</v>
      </c>
      <c r="L21" s="31">
        <f t="shared" ca="1" si="0"/>
        <v>-8.5494219778094695E-5</v>
      </c>
      <c r="M21" s="10">
        <f t="shared" ca="1" si="1"/>
        <v>-8.8787040250399167E-5</v>
      </c>
      <c r="N21" s="11">
        <f t="shared" ca="1" si="2"/>
        <v>1.0385151239563468</v>
      </c>
      <c r="O21" s="32" t="str">
        <f t="shared" ca="1" si="3"/>
        <v>+III</v>
      </c>
      <c r="Q21" s="31">
        <f t="shared" ca="1" si="4"/>
        <v>1.0000887870402504</v>
      </c>
      <c r="R21" s="10">
        <f t="shared" ca="1" si="6"/>
        <v>1.0000887870402504</v>
      </c>
      <c r="S21" s="10">
        <f t="shared" ca="1" si="5"/>
        <v>-1.1969190768933257E-4</v>
      </c>
      <c r="T21" s="10">
        <f t="shared" ca="1" si="7"/>
        <v>-1.1969190768933257E-4</v>
      </c>
      <c r="U21" s="9">
        <f t="array" aca="1" ref="U21" ca="1">MIN(IF('Normen en duidingsklassen'!$E$13:$E$20&gt;$M21,'Normen en duidingsklassen'!$E$13:$E$20))</f>
        <v>1.111111111111111E-5</v>
      </c>
      <c r="V21" s="9">
        <f ca="1">IFERROR(MATCH($U21,'Normen en duidingsklassen'!$E$13:$E$20),1)</f>
        <v>1</v>
      </c>
      <c r="W21" s="9" t="str">
        <f ca="1">INDEX('Normen en duidingsklassen'!$D$13:$D$20,STPH!V21)</f>
        <v>+III</v>
      </c>
      <c r="X21" s="12" t="b">
        <f t="shared" ca="1" si="8"/>
        <v>0</v>
      </c>
    </row>
    <row r="22" spans="2:24" x14ac:dyDescent="0.25">
      <c r="B22" s="8" t="s">
        <v>20</v>
      </c>
      <c r="C22" s="9">
        <f t="shared" si="9"/>
        <v>2200</v>
      </c>
      <c r="D22" s="9">
        <f t="shared" si="14"/>
        <v>2400</v>
      </c>
      <c r="E22" s="23" t="s">
        <v>28</v>
      </c>
      <c r="F22" s="8" t="s">
        <v>32</v>
      </c>
      <c r="G22" s="10">
        <v>5.3600000000000002E-5</v>
      </c>
      <c r="H22" s="26">
        <f t="shared" ca="1" si="17"/>
        <v>1.1334340942858232E-4</v>
      </c>
      <c r="I22" s="8" t="s">
        <v>29</v>
      </c>
      <c r="J22" s="10"/>
      <c r="K22" s="26"/>
      <c r="L22" s="31">
        <f t="shared" si="0"/>
        <v>5.3600000000000002E-5</v>
      </c>
      <c r="M22" s="10">
        <f t="shared" ca="1" si="1"/>
        <v>1.1334340942858232E-4</v>
      </c>
      <c r="N22" s="11">
        <f t="shared" ca="1" si="2"/>
        <v>2.1146158475481776</v>
      </c>
      <c r="O22" s="32" t="str">
        <f t="shared" ca="1" si="3"/>
        <v>+0</v>
      </c>
      <c r="Q22" s="31">
        <f t="shared" ca="1" si="4"/>
        <v>0.99988665659057141</v>
      </c>
      <c r="R22" s="10">
        <f t="shared" ca="1" si="6"/>
        <v>0.99988665659057141</v>
      </c>
      <c r="S22" s="10">
        <f t="shared" si="5"/>
        <v>7.504E-5</v>
      </c>
      <c r="T22" s="10">
        <f t="shared" si="7"/>
        <v>7.504E-5</v>
      </c>
      <c r="U22" s="9">
        <f t="array" aca="1" ref="U22" ca="1">MIN(IF('Normen en duidingsklassen'!$E$13:$E$20&gt;$M22,'Normen en duidingsklassen'!$E$13:$E$20))</f>
        <v>3.3333333333333332E-4</v>
      </c>
      <c r="V22" s="9">
        <f ca="1">IFERROR(MATCH($U22,'Normen en duidingsklassen'!$E$13:$E$20),1)</f>
        <v>4</v>
      </c>
      <c r="W22" s="9" t="str">
        <f ca="1">INDEX('Normen en duidingsklassen'!$D$13:$D$20,STPH!V22)</f>
        <v>+0</v>
      </c>
      <c r="X22" s="12" t="b">
        <f t="shared" si="8"/>
        <v>0</v>
      </c>
    </row>
    <row r="23" spans="2:24" x14ac:dyDescent="0.25">
      <c r="B23" s="8" t="s">
        <v>21</v>
      </c>
      <c r="C23" s="9">
        <f t="shared" si="9"/>
        <v>2400</v>
      </c>
      <c r="D23" s="9">
        <f t="shared" si="14"/>
        <v>2600</v>
      </c>
      <c r="E23" s="23" t="s">
        <v>28</v>
      </c>
      <c r="F23" s="8" t="s">
        <v>32</v>
      </c>
      <c r="G23" s="10">
        <v>2.7399999999999999E-5</v>
      </c>
      <c r="H23" s="26">
        <f t="shared" ca="1" si="17"/>
        <v>1.1825453899541235E-4</v>
      </c>
      <c r="I23" s="8" t="s">
        <v>28</v>
      </c>
      <c r="J23" s="10">
        <f t="shared" ref="J23:J24" ca="1" si="18">G23-0.0002*RAND()</f>
        <v>-1.0687957003705161E-4</v>
      </c>
      <c r="K23" s="26">
        <f t="shared" ref="K23:K24" ca="1" si="19">J23*MAX(1+RAND()*1.4)</f>
        <v>-1.9890677333597417E-4</v>
      </c>
      <c r="L23" s="31">
        <f t="shared" ca="1" si="0"/>
        <v>-1.0687957003705161E-4</v>
      </c>
      <c r="M23" s="10">
        <f t="shared" ca="1" si="1"/>
        <v>-1.9890677333597417E-4</v>
      </c>
      <c r="N23" s="11">
        <f t="shared" ca="1" si="2"/>
        <v>1.8610364288237664</v>
      </c>
      <c r="O23" s="32" t="str">
        <f t="shared" ca="1" si="3"/>
        <v>+III</v>
      </c>
      <c r="Q23" s="31">
        <f t="shared" ca="1" si="4"/>
        <v>1.0001989067733359</v>
      </c>
      <c r="R23" s="10">
        <f t="shared" ca="1" si="6"/>
        <v>1.0001989067733359</v>
      </c>
      <c r="S23" s="10">
        <f t="shared" ca="1" si="5"/>
        <v>-1.4963139805187226E-4</v>
      </c>
      <c r="T23" s="10">
        <f t="shared" ca="1" si="7"/>
        <v>-1.4963139805187226E-4</v>
      </c>
      <c r="U23" s="9">
        <f t="array" aca="1" ref="U23" ca="1">MIN(IF('Normen en duidingsklassen'!$E$13:$E$20&gt;$M23,'Normen en duidingsklassen'!$E$13:$E$20))</f>
        <v>1.111111111111111E-5</v>
      </c>
      <c r="V23" s="9">
        <f ca="1">IFERROR(MATCH($U23,'Normen en duidingsklassen'!$E$13:$E$20),1)</f>
        <v>1</v>
      </c>
      <c r="W23" s="9" t="str">
        <f ca="1">INDEX('Normen en duidingsklassen'!$D$13:$D$20,STPH!V23)</f>
        <v>+III</v>
      </c>
      <c r="X23" s="12" t="b">
        <f t="shared" ca="1" si="8"/>
        <v>0</v>
      </c>
    </row>
    <row r="24" spans="2:24" x14ac:dyDescent="0.25">
      <c r="B24" s="8" t="s">
        <v>22</v>
      </c>
      <c r="C24" s="9">
        <f t="shared" si="9"/>
        <v>2600</v>
      </c>
      <c r="D24" s="9">
        <f t="shared" si="14"/>
        <v>2800</v>
      </c>
      <c r="E24" s="23" t="s">
        <v>28</v>
      </c>
      <c r="F24" s="8" t="s">
        <v>32</v>
      </c>
      <c r="G24" s="10">
        <v>3.2499999999999999E-4</v>
      </c>
      <c r="H24" s="26">
        <f t="shared" ca="1" si="17"/>
        <v>8.6930832756186983E-4</v>
      </c>
      <c r="I24" s="8" t="s">
        <v>28</v>
      </c>
      <c r="J24" s="10">
        <f t="shared" ca="1" si="18"/>
        <v>3.2460599641121325E-4</v>
      </c>
      <c r="K24" s="26">
        <f t="shared" ca="1" si="19"/>
        <v>6.9237014017505222E-4</v>
      </c>
      <c r="L24" s="31">
        <f t="shared" ca="1" si="0"/>
        <v>3.2460599641121325E-4</v>
      </c>
      <c r="M24" s="10">
        <f t="shared" ca="1" si="1"/>
        <v>6.9237014017505222E-4</v>
      </c>
      <c r="N24" s="11">
        <f t="shared" ca="1" si="2"/>
        <v>2.1329554839706431</v>
      </c>
      <c r="O24" s="32" t="str">
        <f t="shared" ca="1" si="3"/>
        <v>0</v>
      </c>
      <c r="Q24" s="31">
        <f t="shared" ca="1" si="4"/>
        <v>0.99930762985982491</v>
      </c>
      <c r="R24" s="10">
        <f t="shared" ca="1" si="6"/>
        <v>0.99930762985982491</v>
      </c>
      <c r="S24" s="10">
        <f t="shared" ca="1" si="5"/>
        <v>4.5444839497569851E-4</v>
      </c>
      <c r="T24" s="10">
        <f t="shared" ca="1" si="7"/>
        <v>4.5444839497569851E-4</v>
      </c>
      <c r="U24" s="9">
        <f t="array" aca="1" ref="U24" ca="1">MIN(IF('Normen en duidingsklassen'!$E$13:$E$20&gt;$M24,'Normen en duidingsklassen'!$E$13:$E$20))</f>
        <v>1E-3</v>
      </c>
      <c r="V24" s="9">
        <f ca="1">IFERROR(MATCH($U24,'Normen en duidingsklassen'!$E$13:$E$20),1)</f>
        <v>5</v>
      </c>
      <c r="W24" s="9" t="str">
        <f ca="1">INDEX('Normen en duidingsklassen'!$D$13:$D$20,STPH!V24)</f>
        <v>0</v>
      </c>
      <c r="X24" s="12" t="b">
        <f t="shared" ca="1" si="8"/>
        <v>0</v>
      </c>
    </row>
    <row r="25" spans="2:24" x14ac:dyDescent="0.25">
      <c r="B25" s="8" t="s">
        <v>23</v>
      </c>
      <c r="C25" s="9">
        <f t="shared" si="9"/>
        <v>2800</v>
      </c>
      <c r="D25" s="9">
        <f t="shared" si="14"/>
        <v>3000</v>
      </c>
      <c r="E25" s="23" t="s">
        <v>28</v>
      </c>
      <c r="F25" s="8" t="s">
        <v>32</v>
      </c>
      <c r="G25" s="10">
        <v>8.3629999999999997E-5</v>
      </c>
      <c r="H25" s="26">
        <f t="shared" ca="1" si="17"/>
        <v>2.5655659917035235E-4</v>
      </c>
      <c r="I25" s="8" t="s">
        <v>29</v>
      </c>
      <c r="J25" s="10"/>
      <c r="K25" s="26"/>
      <c r="L25" s="31">
        <f t="shared" si="0"/>
        <v>8.3629999999999997E-5</v>
      </c>
      <c r="M25" s="10">
        <f t="shared" ca="1" si="1"/>
        <v>2.5655659917035235E-4</v>
      </c>
      <c r="N25" s="11">
        <f t="shared" ca="1" si="2"/>
        <v>3.0677579716651007</v>
      </c>
      <c r="O25" s="32" t="str">
        <f t="shared" ca="1" si="3"/>
        <v>+0</v>
      </c>
      <c r="Q25" s="31">
        <f t="shared" ca="1" si="4"/>
        <v>0.99974344340082966</v>
      </c>
      <c r="R25" s="10">
        <f t="shared" ca="1" si="6"/>
        <v>0.99974344340082966</v>
      </c>
      <c r="S25" s="10">
        <f t="shared" si="5"/>
        <v>1.1708199999999999E-4</v>
      </c>
      <c r="T25" s="10">
        <f t="shared" si="7"/>
        <v>1.1708199999999999E-4</v>
      </c>
      <c r="U25" s="9">
        <f t="array" aca="1" ref="U25" ca="1">MIN(IF('Normen en duidingsklassen'!$E$13:$E$20&gt;$M25,'Normen en duidingsklassen'!$E$13:$E$20))</f>
        <v>3.3333333333333332E-4</v>
      </c>
      <c r="V25" s="9">
        <f ca="1">IFERROR(MATCH($U25,'Normen en duidingsklassen'!$E$13:$E$20),1)</f>
        <v>4</v>
      </c>
      <c r="W25" s="9" t="str">
        <f ca="1">INDEX('Normen en duidingsklassen'!$D$13:$D$20,STPH!V25)</f>
        <v>+0</v>
      </c>
      <c r="X25" s="12" t="b">
        <f t="shared" si="8"/>
        <v>0</v>
      </c>
    </row>
    <row r="26" spans="2:24" x14ac:dyDescent="0.25">
      <c r="B26" s="8" t="s">
        <v>24</v>
      </c>
      <c r="C26" s="9">
        <f t="shared" si="9"/>
        <v>3000</v>
      </c>
      <c r="D26" s="9">
        <f t="shared" si="14"/>
        <v>3200</v>
      </c>
      <c r="E26" s="23" t="s">
        <v>28</v>
      </c>
      <c r="F26" s="8" t="s">
        <v>32</v>
      </c>
      <c r="G26" s="10">
        <v>1.4300000000000001E-6</v>
      </c>
      <c r="H26" s="26">
        <f t="shared" ca="1" si="17"/>
        <v>2.9934735046438821E-6</v>
      </c>
      <c r="I26" s="8" t="s">
        <v>28</v>
      </c>
      <c r="J26" s="10">
        <f t="shared" ref="J26" ca="1" si="20">G26-0.0002*RAND()</f>
        <v>-6.5864829641334424E-6</v>
      </c>
      <c r="K26" s="26">
        <f t="shared" ref="K26:K27" ca="1" si="21">J26*MAX(1+RAND()*1.4)</f>
        <v>-1.2948286230517429E-5</v>
      </c>
      <c r="L26" s="31">
        <f t="shared" ca="1" si="0"/>
        <v>-6.5864829641334424E-6</v>
      </c>
      <c r="M26" s="10">
        <f t="shared" ca="1" si="1"/>
        <v>-1.2948286230517429E-5</v>
      </c>
      <c r="N26" s="11">
        <f t="shared" ca="1" si="2"/>
        <v>1.9658877584633643</v>
      </c>
      <c r="O26" s="32" t="str">
        <f t="shared" ca="1" si="3"/>
        <v>+III</v>
      </c>
      <c r="Q26" s="31">
        <f t="shared" ca="1" si="4"/>
        <v>1.0000129482862306</v>
      </c>
      <c r="R26" s="10">
        <f t="shared" ca="1" si="6"/>
        <v>1.0000129482862306</v>
      </c>
      <c r="S26" s="10">
        <f t="shared" ca="1" si="5"/>
        <v>-9.2210761497868194E-6</v>
      </c>
      <c r="T26" s="10">
        <f t="shared" ca="1" si="7"/>
        <v>-9.2210761497868194E-6</v>
      </c>
      <c r="U26" s="9">
        <f t="array" aca="1" ref="U26" ca="1">MIN(IF('Normen en duidingsklassen'!$E$13:$E$20&gt;$M26,'Normen en duidingsklassen'!$E$13:$E$20))</f>
        <v>1.111111111111111E-5</v>
      </c>
      <c r="V26" s="9">
        <f ca="1">IFERROR(MATCH($U26,'Normen en duidingsklassen'!$E$13:$E$20),1)</f>
        <v>1</v>
      </c>
      <c r="W26" s="9" t="str">
        <f ca="1">INDEX('Normen en duidingsklassen'!$D$13:$D$20,STPH!V26)</f>
        <v>+III</v>
      </c>
      <c r="X26" s="12" t="b">
        <f t="shared" ca="1" si="8"/>
        <v>0</v>
      </c>
    </row>
    <row r="27" spans="2:24" x14ac:dyDescent="0.25">
      <c r="B27" s="8" t="s">
        <v>25</v>
      </c>
      <c r="C27" s="9">
        <f t="shared" si="9"/>
        <v>3200</v>
      </c>
      <c r="D27" s="9">
        <f t="shared" si="14"/>
        <v>3400</v>
      </c>
      <c r="E27" s="23" t="s">
        <v>28</v>
      </c>
      <c r="F27" s="8" t="s">
        <v>33</v>
      </c>
      <c r="G27" s="10"/>
      <c r="H27" s="26"/>
      <c r="I27" s="8" t="s">
        <v>28</v>
      </c>
      <c r="J27" s="10">
        <f>1/132406</f>
        <v>7.5525278310650572E-6</v>
      </c>
      <c r="K27" s="26">
        <f t="shared" ca="1" si="21"/>
        <v>1.4405862240661799E-5</v>
      </c>
      <c r="L27" s="31">
        <f t="shared" si="0"/>
        <v>7.5525278310650572E-6</v>
      </c>
      <c r="M27" s="10">
        <f t="shared" ca="1" si="1"/>
        <v>1.4405862240661799E-5</v>
      </c>
      <c r="N27" s="11">
        <f t="shared" ca="1" si="2"/>
        <v>1.9074225958370663</v>
      </c>
      <c r="O27" s="32" t="str">
        <f t="shared" ca="1" si="3"/>
        <v>+II</v>
      </c>
      <c r="Q27" s="31">
        <f t="shared" ca="1" si="4"/>
        <v>0.99998559413775934</v>
      </c>
      <c r="R27" s="10">
        <f t="shared" ca="1" si="6"/>
        <v>0.99998559413775934</v>
      </c>
      <c r="S27" s="10">
        <f t="shared" si="5"/>
        <v>1.0573538963491079E-5</v>
      </c>
      <c r="T27" s="10">
        <f t="shared" si="7"/>
        <v>1.0573538963491079E-5</v>
      </c>
      <c r="U27" s="9">
        <f t="array" aca="1" ref="U27" ca="1">MIN(IF('Normen en duidingsklassen'!$E$13:$E$20&gt;$M27,'Normen en duidingsklassen'!$E$13:$E$20))</f>
        <v>3.3333333333333335E-5</v>
      </c>
      <c r="V27" s="9">
        <f ca="1">IFERROR(MATCH($U27,'Normen en duidingsklassen'!$E$13:$E$20),1)</f>
        <v>2</v>
      </c>
      <c r="W27" s="9" t="str">
        <f ca="1">INDEX('Normen en duidingsklassen'!$D$13:$D$20,STPH!V27)</f>
        <v>+II</v>
      </c>
      <c r="X27" s="12" t="b">
        <f t="shared" si="8"/>
        <v>0</v>
      </c>
    </row>
    <row r="28" spans="2:24" x14ac:dyDescent="0.25">
      <c r="B28" s="8" t="s">
        <v>26</v>
      </c>
      <c r="C28" s="9">
        <f t="shared" si="9"/>
        <v>3400</v>
      </c>
      <c r="D28" s="9">
        <f t="shared" si="14"/>
        <v>3600</v>
      </c>
      <c r="E28" s="23" t="s">
        <v>28</v>
      </c>
      <c r="F28" s="8" t="s">
        <v>33</v>
      </c>
      <c r="G28" s="10"/>
      <c r="H28" s="26"/>
      <c r="I28" s="8" t="s">
        <v>28</v>
      </c>
      <c r="J28" s="10"/>
      <c r="K28" s="26"/>
      <c r="L28" s="31" t="str">
        <f>IF($E28="Nee",0,IF(ISNUMBER(J28),J28,IF(ISNUMBER(G28),G28,"-")))</f>
        <v>-</v>
      </c>
      <c r="M28" s="10" t="str">
        <f t="shared" si="1"/>
        <v>-</v>
      </c>
      <c r="N28" s="11" t="str">
        <f>IF(ISNUMBER(L28),IF(M28=0,1,M28/L28),"-")</f>
        <v>-</v>
      </c>
      <c r="O28" s="32" t="str">
        <f>IF(ISNUMBER($M28),W28,IF($X28,"D","ND"))</f>
        <v>D</v>
      </c>
      <c r="Q28" s="31" t="e">
        <f t="shared" si="4"/>
        <v>#VALUE!</v>
      </c>
      <c r="R28" s="10">
        <f t="shared" si="6"/>
        <v>1</v>
      </c>
      <c r="S28" s="10" t="e">
        <f t="shared" si="5"/>
        <v>#VALUE!</v>
      </c>
      <c r="T28" s="10">
        <f t="shared" si="7"/>
        <v>0</v>
      </c>
      <c r="U28" s="9">
        <f t="array" ref="U28">MIN(IF('Normen en duidingsklassen'!$E$13:$E$20&gt;$M28,'Normen en duidingsklassen'!$E$13:$E$20))</f>
        <v>0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1</v>
      </c>
    </row>
    <row r="29" spans="2:24" ht="15.75" thickBot="1" x14ac:dyDescent="0.3">
      <c r="B29" s="13" t="s">
        <v>27</v>
      </c>
      <c r="C29" s="14">
        <f t="shared" si="9"/>
        <v>3600</v>
      </c>
      <c r="D29" s="14">
        <f t="shared" si="14"/>
        <v>3800</v>
      </c>
      <c r="E29" s="24" t="s">
        <v>28</v>
      </c>
      <c r="F29" s="13" t="s">
        <v>33</v>
      </c>
      <c r="G29" s="15"/>
      <c r="H29" s="27"/>
      <c r="I29" s="13" t="s">
        <v>29</v>
      </c>
      <c r="J29" s="15"/>
      <c r="K29" s="27"/>
      <c r="L29" s="33" t="str">
        <f t="shared" ref="L29" si="22">IF($E29="Nee",0,IF(ISNUMBER(J29),J29,IF(ISNUMBER(G29),G29,"-")))</f>
        <v>-</v>
      </c>
      <c r="M29" s="15" t="str">
        <f t="shared" si="1"/>
        <v>-</v>
      </c>
      <c r="N29" s="16" t="str">
        <f t="shared" ref="N29" si="23">IF(ISNUMBER(L29),IF(M29=0,1,M29/L29),"-")</f>
        <v>-</v>
      </c>
      <c r="O29" s="34" t="str">
        <f>IF(ISNUMBER($M29),W29,IF($X29,"D","ND"))</f>
        <v>ND</v>
      </c>
      <c r="Q29" s="33">
        <f>IF(AND(F29="Geen faalkans",I29="Nee"),1,1-M29)</f>
        <v>1</v>
      </c>
      <c r="R29" s="15">
        <f t="shared" si="6"/>
        <v>1</v>
      </c>
      <c r="S29" s="15">
        <f>IF(AND(F29="Geen faalkans",I29="Nee"),0,L29*$C$3)</f>
        <v>0</v>
      </c>
      <c r="T29" s="15">
        <f t="shared" si="7"/>
        <v>0</v>
      </c>
      <c r="U29" s="14">
        <f t="array" ref="U29">MIN(IF('Normen en duidingsklassen'!$E$13:$E$20&gt;$M29,'Normen en duidingsklassen'!$E$13:$E$20))</f>
        <v>0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103" priority="11">
      <formula>IF($E10="Nee",TRUE,FALSE)</formula>
    </cfRule>
  </conditionalFormatting>
  <conditionalFormatting sqref="J10:K29">
    <cfRule type="expression" dxfId="102" priority="10">
      <formula>IF($I10="Nee",TRUE,FALSE)</formula>
    </cfRule>
  </conditionalFormatting>
  <conditionalFormatting sqref="O10:O29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J11" sqref="J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76</v>
      </c>
    </row>
    <row r="3" spans="2:25" x14ac:dyDescent="0.25">
      <c r="B3" s="36" t="s">
        <v>52</v>
      </c>
      <c r="C3" s="7">
        <v>4.5</v>
      </c>
    </row>
    <row r="4" spans="2:25" x14ac:dyDescent="0.25">
      <c r="B4" s="40" t="s">
        <v>55</v>
      </c>
      <c r="C4" s="26">
        <f ca="1">IFERROR(MIN(1-PRODUCT(Q10:Q29),MAX(S10:S29)),"GR")</f>
        <v>3.4717735983891829E-3</v>
      </c>
    </row>
    <row r="5" spans="2:25" x14ac:dyDescent="0.25">
      <c r="B5" s="40" t="s">
        <v>49</v>
      </c>
      <c r="C5" s="26">
        <f ca="1">MIN(1-PRODUCT(R10:R29),MAX(T10:T29))</f>
        <v>3.4717735983891829E-3</v>
      </c>
    </row>
    <row r="6" spans="2:25" ht="15.75" thickBot="1" x14ac:dyDescent="0.3">
      <c r="B6" s="41" t="s">
        <v>56</v>
      </c>
      <c r="C6" s="17" t="str">
        <f ca="1">IF(1-PRODUCT(R10:R29)&gt;MAX(T10:T29),"Ja","Nee")</f>
        <v>Ja</v>
      </c>
    </row>
    <row r="8" spans="2:25" ht="15.75" thickBot="1" x14ac:dyDescent="0.3">
      <c r="Q8" t="s">
        <v>75</v>
      </c>
    </row>
    <row r="9" spans="2:25" ht="60.75" thickBot="1" x14ac:dyDescent="0.3">
      <c r="B9" s="18" t="s">
        <v>0</v>
      </c>
      <c r="C9" s="19" t="s">
        <v>1</v>
      </c>
      <c r="D9" s="19" t="s">
        <v>93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72</v>
      </c>
      <c r="V9" s="38" t="s">
        <v>73</v>
      </c>
      <c r="W9" s="4"/>
      <c r="X9" s="39" t="s">
        <v>74</v>
      </c>
      <c r="Y9" s="35"/>
    </row>
    <row r="10" spans="2:25" x14ac:dyDescent="0.25">
      <c r="B10" s="3" t="s">
        <v>8</v>
      </c>
      <c r="C10" s="4">
        <v>0</v>
      </c>
      <c r="D10" s="4">
        <v>80</v>
      </c>
      <c r="E10" s="22" t="s">
        <v>28</v>
      </c>
      <c r="F10" s="3" t="s">
        <v>32</v>
      </c>
      <c r="G10" s="5">
        <v>0.06</v>
      </c>
      <c r="H10" s="25">
        <f ca="1">G10*(1+RAND()*4)</f>
        <v>0.16969941403116667</v>
      </c>
      <c r="I10" s="3" t="s">
        <v>28</v>
      </c>
      <c r="J10" s="5">
        <v>4.7299999999999996E-6</v>
      </c>
      <c r="K10" s="25">
        <f ca="1">J10*MAX(1+RAND()*1.4)</f>
        <v>7.7791338371271511E-6</v>
      </c>
      <c r="L10" s="29">
        <f t="shared" ref="L10:M27" si="0">IF($E10="Nee",0,IF(ISNUMBER(J10),J10,IF(ISNUMBER(G10),G10,"-")))</f>
        <v>4.7299999999999996E-6</v>
      </c>
      <c r="M10" s="5">
        <f t="shared" ca="1" si="0"/>
        <v>7.7791338371271511E-6</v>
      </c>
      <c r="N10" s="6">
        <f t="shared" ref="N10:N27" ca="1" si="1">IF(ISNUMBER(L10),IF(M10=0,1,M10/L10),"-")</f>
        <v>1.6446371748683195</v>
      </c>
      <c r="O10" s="30" t="str">
        <f t="shared" ref="O10:O27" ca="1" si="2">IF(ISNUMBER($M10),W10,IF($X10,"D","ND"))</f>
        <v>+III</v>
      </c>
      <c r="Q10" s="31">
        <f t="shared" ref="Q10:Q28" ca="1" si="3">IF(AND(F10="Geen faalkans",I10="Nee"),1,1-M10)</f>
        <v>0.99999222086616291</v>
      </c>
      <c r="R10" s="10">
        <f ca="1">IF(M10="-",1,Q10)</f>
        <v>0.99999222086616291</v>
      </c>
      <c r="S10" s="10">
        <f t="shared" ref="S10:S28" si="4">IF(AND(F10="Geen faalkans",I10="Nee"),0,L10*$C$3)</f>
        <v>2.1284999999999997E-5</v>
      </c>
      <c r="T10" s="10">
        <f>IF(L10="-",0,S10)</f>
        <v>2.1284999999999997E-5</v>
      </c>
      <c r="U10" s="9">
        <f t="array" aca="1" ref="U10" ca="1">MIN(IF('Normen en duidingsklassen'!$E$13:$E$20&gt;$M10,'Normen en duidingsklassen'!$E$13:$E$20))</f>
        <v>1.111111111111111E-5</v>
      </c>
      <c r="V10" s="9">
        <f ca="1">IFERROR(MATCH($U10,'Normen en duidingsklassen'!$E$13:$E$20),1)</f>
        <v>1</v>
      </c>
      <c r="W10" s="9" t="str">
        <f ca="1"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f>D10</f>
        <v>80</v>
      </c>
      <c r="D11" s="9">
        <v>110</v>
      </c>
      <c r="E11" s="23" t="s">
        <v>29</v>
      </c>
      <c r="F11" s="8" t="s">
        <v>33</v>
      </c>
      <c r="G11" s="10"/>
      <c r="H11" s="26"/>
      <c r="I11" s="8" t="s">
        <v>29</v>
      </c>
      <c r="J11" s="10"/>
      <c r="K11" s="26"/>
      <c r="L11" s="31">
        <f t="shared" si="0"/>
        <v>0</v>
      </c>
      <c r="M11" s="10">
        <f t="shared" si="0"/>
        <v>0</v>
      </c>
      <c r="N11" s="11">
        <f t="shared" si="1"/>
        <v>1</v>
      </c>
      <c r="O11" s="32" t="str">
        <f t="shared" si="2"/>
        <v>+III</v>
      </c>
      <c r="Q11" s="31">
        <f t="shared" si="3"/>
        <v>1</v>
      </c>
      <c r="R11" s="10">
        <f t="shared" ref="R11:R29" si="5">IF(M11="-",1,Q11)</f>
        <v>1</v>
      </c>
      <c r="S11" s="10">
        <f t="shared" si="4"/>
        <v>0</v>
      </c>
      <c r="T11" s="10">
        <f t="shared" ref="T11:T29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9" si="7">IF($E11="Ja",IF($I11="Ja",NOT(ISNUMBER($J11)),FALSE),FALSE)</f>
        <v>0</v>
      </c>
    </row>
    <row r="12" spans="2:25" x14ac:dyDescent="0.25">
      <c r="B12" s="8" t="s">
        <v>10</v>
      </c>
      <c r="C12" s="9">
        <f t="shared" ref="C12:C29" si="8">D11</f>
        <v>110</v>
      </c>
      <c r="D12" s="9">
        <v>300</v>
      </c>
      <c r="E12" s="23" t="s">
        <v>28</v>
      </c>
      <c r="F12" s="8" t="s">
        <v>34</v>
      </c>
      <c r="G12" s="10">
        <f t="shared" ref="G12:G14" ca="1" si="9">0.00001+RAND()*0.0012</f>
        <v>5.8501300265366885E-4</v>
      </c>
      <c r="H12" s="26">
        <f t="shared" ref="H12:H14" ca="1" si="10">G12*(1+RAND()*4)</f>
        <v>1.7530350373787223E-3</v>
      </c>
      <c r="I12" s="8" t="s">
        <v>29</v>
      </c>
      <c r="J12" s="10"/>
      <c r="K12" s="26"/>
      <c r="L12" s="31">
        <f t="shared" ca="1" si="0"/>
        <v>5.8501300265366885E-4</v>
      </c>
      <c r="M12" s="10">
        <f t="shared" ca="1" si="0"/>
        <v>1.7530350373787223E-3</v>
      </c>
      <c r="N12" s="11">
        <f t="shared" ca="1" si="1"/>
        <v>2.9965744853991381</v>
      </c>
      <c r="O12" s="32" t="str">
        <f t="shared" ca="1" si="2"/>
        <v>-I</v>
      </c>
      <c r="Q12" s="31">
        <f t="shared" ca="1" si="3"/>
        <v>0.99824696496262133</v>
      </c>
      <c r="R12" s="10">
        <f t="shared" ca="1" si="5"/>
        <v>0.99824696496262133</v>
      </c>
      <c r="S12" s="10">
        <f t="shared" ca="1" si="4"/>
        <v>2.6325585119415097E-3</v>
      </c>
      <c r="T12" s="10">
        <f t="shared" ca="1" si="6"/>
        <v>2.6325585119415097E-3</v>
      </c>
      <c r="U12" s="9">
        <f t="array" aca="1" ref="U12" ca="1">MIN(IF('Normen en duidingsklassen'!$E$13:$E$20&gt;$M12,'Normen en duidingsklassen'!$E$13:$E$20))</f>
        <v>3.0000000000000001E-3</v>
      </c>
      <c r="V12" s="9">
        <f ca="1">IFERROR(MATCH($U12,'Normen en duidingsklassen'!$E$13:$E$20),1)</f>
        <v>6</v>
      </c>
      <c r="W12" s="9" t="str">
        <f ca="1">INDEX('Normen en duidingsklassen'!$D$13:$D$20,V12)</f>
        <v>-I</v>
      </c>
      <c r="X12" s="12" t="b">
        <f t="shared" si="7"/>
        <v>0</v>
      </c>
    </row>
    <row r="13" spans="2:25" x14ac:dyDescent="0.25">
      <c r="B13" s="8" t="s">
        <v>11</v>
      </c>
      <c r="C13" s="9">
        <f t="shared" si="8"/>
        <v>300</v>
      </c>
      <c r="D13" s="9">
        <v>450</v>
      </c>
      <c r="E13" s="23" t="s">
        <v>28</v>
      </c>
      <c r="F13" s="8" t="s">
        <v>34</v>
      </c>
      <c r="G13" s="10">
        <f t="shared" ca="1" si="9"/>
        <v>1.260475033767418E-4</v>
      </c>
      <c r="H13" s="26">
        <f t="shared" ca="1" si="10"/>
        <v>1.8968111169799734E-4</v>
      </c>
      <c r="I13" s="8" t="s">
        <v>29</v>
      </c>
      <c r="J13" s="10"/>
      <c r="K13" s="26"/>
      <c r="L13" s="31">
        <f t="shared" ca="1" si="0"/>
        <v>1.260475033767418E-4</v>
      </c>
      <c r="M13" s="10">
        <f t="shared" ca="1" si="0"/>
        <v>1.8968111169799734E-4</v>
      </c>
      <c r="N13" s="11">
        <f t="shared" ca="1" si="1"/>
        <v>1.5048383079120722</v>
      </c>
      <c r="O13" s="32" t="str">
        <f t="shared" ca="1" si="2"/>
        <v>+0</v>
      </c>
      <c r="Q13" s="31">
        <f t="shared" ca="1" si="3"/>
        <v>0.99981031888830196</v>
      </c>
      <c r="R13" s="10">
        <f t="shared" ca="1" si="5"/>
        <v>0.99981031888830196</v>
      </c>
      <c r="S13" s="10">
        <f t="shared" ca="1" si="4"/>
        <v>5.6721376519533809E-4</v>
      </c>
      <c r="T13" s="10">
        <f t="shared" ca="1" si="6"/>
        <v>5.6721376519533809E-4</v>
      </c>
      <c r="U13" s="9">
        <f t="array" aca="1" ref="U13" ca="1">MIN(IF('Normen en duidingsklassen'!$E$13:$E$20&gt;$M13,'Normen en duidingsklassen'!$E$13:$E$20))</f>
        <v>3.3333333333333332E-4</v>
      </c>
      <c r="V13" s="9">
        <f ca="1">IFERROR(MATCH($U13,'Normen en duidingsklassen'!$E$13:$E$20),1)</f>
        <v>4</v>
      </c>
      <c r="W13" s="9" t="str">
        <f ca="1">INDEX('Normen en duidingsklassen'!$D$13:$D$20,V13)</f>
        <v>+0</v>
      </c>
      <c r="X13" s="12" t="b">
        <f t="shared" si="7"/>
        <v>0</v>
      </c>
    </row>
    <row r="14" spans="2:25" x14ac:dyDescent="0.25">
      <c r="B14" s="8" t="s">
        <v>12</v>
      </c>
      <c r="C14" s="9">
        <f t="shared" si="8"/>
        <v>450</v>
      </c>
      <c r="D14" s="9">
        <v>700</v>
      </c>
      <c r="E14" s="23" t="s">
        <v>28</v>
      </c>
      <c r="F14" s="8" t="s">
        <v>34</v>
      </c>
      <c r="G14" s="10">
        <f t="shared" ca="1" si="9"/>
        <v>7.7150524408648509E-4</v>
      </c>
      <c r="H14" s="26">
        <f t="shared" ca="1" si="10"/>
        <v>2.1572938145208178E-3</v>
      </c>
      <c r="I14" s="8" t="s">
        <v>29</v>
      </c>
      <c r="J14" s="10"/>
      <c r="K14" s="26"/>
      <c r="L14" s="31">
        <f t="shared" ca="1" si="0"/>
        <v>7.7150524408648509E-4</v>
      </c>
      <c r="M14" s="10">
        <f t="shared" ca="1" si="0"/>
        <v>2.1572938145208178E-3</v>
      </c>
      <c r="N14" s="11">
        <f t="shared" ca="1" si="1"/>
        <v>2.7962140647212332</v>
      </c>
      <c r="O14" s="32" t="str">
        <f t="shared" ca="1" si="2"/>
        <v>-I</v>
      </c>
      <c r="Q14" s="31">
        <f t="shared" ca="1" si="3"/>
        <v>0.99784270618547921</v>
      </c>
      <c r="R14" s="10">
        <f t="shared" ca="1" si="5"/>
        <v>0.99784270618547921</v>
      </c>
      <c r="S14" s="10">
        <f t="shared" ca="1" si="4"/>
        <v>3.4717735983891829E-3</v>
      </c>
      <c r="T14" s="10">
        <f t="shared" ca="1" si="6"/>
        <v>3.4717735983891829E-3</v>
      </c>
      <c r="U14" s="9">
        <f t="array" aca="1" ref="U14" ca="1">MIN(IF('Normen en duidingsklassen'!$E$13:$E$20&gt;$M14,'Normen en duidingsklassen'!$E$13:$E$20))</f>
        <v>3.0000000000000001E-3</v>
      </c>
      <c r="V14" s="9">
        <f ca="1">IFERROR(MATCH($U14,'Normen en duidingsklassen'!$E$13:$E$20),1)</f>
        <v>6</v>
      </c>
      <c r="W14" s="9" t="str">
        <f ca="1">INDEX('Normen en duidingsklassen'!$D$13:$D$20,V14)</f>
        <v>-I</v>
      </c>
      <c r="X14" s="12" t="b">
        <f t="shared" si="7"/>
        <v>0</v>
      </c>
    </row>
    <row r="15" spans="2:25" x14ac:dyDescent="0.25">
      <c r="B15" s="8" t="s">
        <v>13</v>
      </c>
      <c r="C15" s="9">
        <f t="shared" si="8"/>
        <v>700</v>
      </c>
      <c r="D15" s="9">
        <v>910</v>
      </c>
      <c r="E15" s="23" t="s">
        <v>28</v>
      </c>
      <c r="F15" s="8" t="s">
        <v>34</v>
      </c>
      <c r="G15" s="10"/>
      <c r="H15" s="26"/>
      <c r="I15" s="8" t="s">
        <v>28</v>
      </c>
      <c r="J15" s="10">
        <v>3.6399999999999998E-7</v>
      </c>
      <c r="K15" s="26">
        <f t="shared" ref="K15:K17" ca="1" si="11">J15*MAX(1+RAND()*1.4)</f>
        <v>6.6932930377410594E-7</v>
      </c>
      <c r="L15" s="31">
        <f t="shared" si="0"/>
        <v>3.6399999999999998E-7</v>
      </c>
      <c r="M15" s="10">
        <f t="shared" ca="1" si="0"/>
        <v>6.6932930377410594E-7</v>
      </c>
      <c r="N15" s="11">
        <f t="shared" ca="1" si="1"/>
        <v>1.8388167686101813</v>
      </c>
      <c r="O15" s="32" t="str">
        <f t="shared" ca="1" si="2"/>
        <v>+III</v>
      </c>
      <c r="Q15" s="31">
        <f t="shared" ca="1" si="3"/>
        <v>0.99999933067069624</v>
      </c>
      <c r="R15" s="10">
        <f t="shared" ca="1" si="5"/>
        <v>0.99999933067069624</v>
      </c>
      <c r="S15" s="10">
        <f t="shared" si="4"/>
        <v>1.6379999999999998E-6</v>
      </c>
      <c r="T15" s="10">
        <f t="shared" si="6"/>
        <v>1.6379999999999998E-6</v>
      </c>
      <c r="U15" s="9">
        <f t="array" aca="1" ref="U15" ca="1">MIN(IF('Normen en duidingsklassen'!$E$13:$E$20&gt;$M15,'Normen en duidingsklassen'!$E$13:$E$20))</f>
        <v>1.111111111111111E-5</v>
      </c>
      <c r="V15" s="9">
        <f ca="1">IFERROR(MATCH($U15,'Normen en duidingsklassen'!$E$13:$E$20),1)</f>
        <v>1</v>
      </c>
      <c r="W15" s="9" t="str">
        <f ca="1"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14</v>
      </c>
      <c r="C16" s="9">
        <f t="shared" si="8"/>
        <v>910</v>
      </c>
      <c r="D16" s="9">
        <v>1200</v>
      </c>
      <c r="E16" s="23" t="s">
        <v>28</v>
      </c>
      <c r="F16" s="8" t="s">
        <v>34</v>
      </c>
      <c r="G16" s="10">
        <f t="shared" ref="G16:G20" ca="1" si="12">0.00001+RAND()*0.0012</f>
        <v>5.2633051377027826E-4</v>
      </c>
      <c r="H16" s="26">
        <f t="shared" ref="H16:H19" ca="1" si="13">G16*(1+RAND()*4)</f>
        <v>2.5174746311554235E-3</v>
      </c>
      <c r="I16" s="8" t="s">
        <v>28</v>
      </c>
      <c r="J16" s="10">
        <f t="shared" ref="J16:J17" ca="1" si="14">G16-0.0002*RAND()</f>
        <v>4.792180976139691E-4</v>
      </c>
      <c r="K16" s="26">
        <f t="shared" ca="1" si="11"/>
        <v>6.7217668360252661E-4</v>
      </c>
      <c r="L16" s="31">
        <f t="shared" ca="1" si="0"/>
        <v>4.792180976139691E-4</v>
      </c>
      <c r="M16" s="10">
        <f t="shared" ca="1" si="0"/>
        <v>6.7217668360252661E-4</v>
      </c>
      <c r="N16" s="11">
        <f t="shared" ca="1" si="1"/>
        <v>1.4026529610407035</v>
      </c>
      <c r="O16" s="32" t="str">
        <f t="shared" ca="1" si="2"/>
        <v>0</v>
      </c>
      <c r="Q16" s="31">
        <f t="shared" ca="1" si="3"/>
        <v>0.99932782331639747</v>
      </c>
      <c r="R16" s="10">
        <f t="shared" ca="1" si="5"/>
        <v>0.99932782331639747</v>
      </c>
      <c r="S16" s="10">
        <f t="shared" ca="1" si="4"/>
        <v>2.1564814392628609E-3</v>
      </c>
      <c r="T16" s="10">
        <f t="shared" ca="1" si="6"/>
        <v>2.1564814392628609E-3</v>
      </c>
      <c r="U16" s="9">
        <f t="array" aca="1" ref="U16" ca="1">MIN(IF('Normen en duidingsklassen'!$E$13:$E$20&gt;$M16,'Normen en duidingsklassen'!$E$13:$E$20))</f>
        <v>1E-3</v>
      </c>
      <c r="V16" s="9">
        <f ca="1">IFERROR(MATCH($U16,'Normen en duidingsklassen'!$E$13:$E$20),1)</f>
        <v>5</v>
      </c>
      <c r="W16" s="9" t="str">
        <f ca="1">INDEX('Normen en duidingsklassen'!$D$13:$D$20,V16)</f>
        <v>0</v>
      </c>
      <c r="X16" s="12" t="b">
        <f t="shared" ca="1" si="7"/>
        <v>0</v>
      </c>
    </row>
    <row r="17" spans="2:24" x14ac:dyDescent="0.25">
      <c r="B17" s="8" t="s">
        <v>15</v>
      </c>
      <c r="C17" s="9">
        <f t="shared" si="8"/>
        <v>1200</v>
      </c>
      <c r="D17" s="9">
        <v>1400</v>
      </c>
      <c r="E17" s="23" t="s">
        <v>28</v>
      </c>
      <c r="F17" s="8" t="s">
        <v>34</v>
      </c>
      <c r="G17" s="10">
        <f t="shared" ca="1" si="12"/>
        <v>4.3363601028832108E-4</v>
      </c>
      <c r="H17" s="26">
        <f t="shared" ca="1" si="13"/>
        <v>5.9706782090043807E-4</v>
      </c>
      <c r="I17" s="8" t="s">
        <v>28</v>
      </c>
      <c r="J17" s="10">
        <f t="shared" ca="1" si="14"/>
        <v>3.8572707985171393E-4</v>
      </c>
      <c r="K17" s="26">
        <f t="shared" ca="1" si="11"/>
        <v>7.5401899963720956E-4</v>
      </c>
      <c r="L17" s="31">
        <f t="shared" ca="1" si="0"/>
        <v>3.8572707985171393E-4</v>
      </c>
      <c r="M17" s="10">
        <f t="shared" ca="1" si="0"/>
        <v>7.5401899963720956E-4</v>
      </c>
      <c r="N17" s="11">
        <f t="shared" ca="1" si="1"/>
        <v>1.954799232470479</v>
      </c>
      <c r="O17" s="32" t="str">
        <f t="shared" ca="1" si="2"/>
        <v>0</v>
      </c>
      <c r="Q17" s="31">
        <f t="shared" ca="1" si="3"/>
        <v>0.99924598100036277</v>
      </c>
      <c r="R17" s="10">
        <f t="shared" ca="1" si="5"/>
        <v>0.99924598100036277</v>
      </c>
      <c r="S17" s="10">
        <f t="shared" ca="1" si="4"/>
        <v>1.7357718593327127E-3</v>
      </c>
      <c r="T17" s="10">
        <f t="shared" ca="1" si="6"/>
        <v>1.7357718593327127E-3</v>
      </c>
      <c r="U17" s="9">
        <f t="array" aca="1" ref="U17" ca="1">MIN(IF('Normen en duidingsklassen'!$E$13:$E$20&gt;$M17,'Normen en duidingsklassen'!$E$13:$E$20))</f>
        <v>1E-3</v>
      </c>
      <c r="V17" s="9">
        <f ca="1">IFERROR(MATCH($U17,'Normen en duidingsklassen'!$E$13:$E$20),1)</f>
        <v>5</v>
      </c>
      <c r="W17" s="9" t="str">
        <f ca="1">INDEX('Normen en duidingsklassen'!$D$13:$D$20,V17)</f>
        <v>0</v>
      </c>
      <c r="X17" s="12" t="b">
        <f t="shared" ca="1" si="7"/>
        <v>0</v>
      </c>
    </row>
    <row r="18" spans="2:24" x14ac:dyDescent="0.25">
      <c r="B18" s="8" t="s">
        <v>16</v>
      </c>
      <c r="C18" s="9">
        <f t="shared" si="8"/>
        <v>1400</v>
      </c>
      <c r="D18" s="9">
        <f>C18+200</f>
        <v>1600</v>
      </c>
      <c r="E18" s="23" t="s">
        <v>28</v>
      </c>
      <c r="F18" s="8" t="s">
        <v>34</v>
      </c>
      <c r="G18" s="10">
        <f t="shared" ca="1" si="12"/>
        <v>4.7150786233170775E-4</v>
      </c>
      <c r="H18" s="26">
        <f t="shared" ca="1" si="13"/>
        <v>1.0552022562107454E-3</v>
      </c>
      <c r="I18" s="8" t="s">
        <v>29</v>
      </c>
      <c r="J18" s="10"/>
      <c r="K18" s="26"/>
      <c r="L18" s="31">
        <f t="shared" ca="1" si="0"/>
        <v>4.7150786233170775E-4</v>
      </c>
      <c r="M18" s="10">
        <f t="shared" ca="1" si="0"/>
        <v>1.0552022562107454E-3</v>
      </c>
      <c r="N18" s="11">
        <f t="shared" ca="1" si="1"/>
        <v>2.2379314121986078</v>
      </c>
      <c r="O18" s="32" t="str">
        <f t="shared" ca="1" si="2"/>
        <v>-I</v>
      </c>
      <c r="Q18" s="31">
        <f t="shared" ca="1" si="3"/>
        <v>0.9989447977437893</v>
      </c>
      <c r="R18" s="10">
        <f t="shared" ca="1" si="5"/>
        <v>0.9989447977437893</v>
      </c>
      <c r="S18" s="10">
        <f t="shared" ca="1" si="4"/>
        <v>2.1217853804926848E-3</v>
      </c>
      <c r="T18" s="10">
        <f t="shared" ca="1" si="6"/>
        <v>2.1217853804926848E-3</v>
      </c>
      <c r="U18" s="9">
        <f t="array" aca="1" ref="U18" ca="1">MIN(IF('Normen en duidingsklassen'!$E$13:$E$20&gt;$M18,'Normen en duidingsklassen'!$E$13:$E$20))</f>
        <v>3.0000000000000001E-3</v>
      </c>
      <c r="V18" s="9">
        <f ca="1">IFERROR(MATCH($U18,'Normen en duidingsklassen'!$E$13:$E$20),1)</f>
        <v>6</v>
      </c>
      <c r="W18" s="9" t="str">
        <f ca="1">INDEX('Normen en duidingsklassen'!$D$13:$D$20,V18)</f>
        <v>-I</v>
      </c>
      <c r="X18" s="12" t="b">
        <f t="shared" si="7"/>
        <v>0</v>
      </c>
    </row>
    <row r="19" spans="2:24" x14ac:dyDescent="0.25">
      <c r="B19" s="8" t="s">
        <v>17</v>
      </c>
      <c r="C19" s="9">
        <f t="shared" si="8"/>
        <v>1600</v>
      </c>
      <c r="D19" s="9">
        <f t="shared" ref="D19:D29" si="15">C19+200</f>
        <v>1800</v>
      </c>
      <c r="E19" s="23" t="s">
        <v>28</v>
      </c>
      <c r="F19" s="8" t="s">
        <v>34</v>
      </c>
      <c r="G19" s="10">
        <f t="shared" ca="1" si="12"/>
        <v>9.3569732000459214E-5</v>
      </c>
      <c r="H19" s="26">
        <f t="shared" ca="1" si="13"/>
        <v>1.8004337030443049E-4</v>
      </c>
      <c r="I19" s="8" t="s">
        <v>29</v>
      </c>
      <c r="J19" s="10"/>
      <c r="K19" s="26"/>
      <c r="L19" s="31">
        <f t="shared" ca="1" si="0"/>
        <v>9.3569732000459214E-5</v>
      </c>
      <c r="M19" s="10">
        <f t="shared" ca="1" si="0"/>
        <v>1.8004337030443049E-4</v>
      </c>
      <c r="N19" s="11">
        <f t="shared" ca="1" si="1"/>
        <v>1.9241625091279186</v>
      </c>
      <c r="O19" s="32" t="str">
        <f t="shared" ca="1" si="2"/>
        <v>+0</v>
      </c>
      <c r="Q19" s="31">
        <f t="shared" ca="1" si="3"/>
        <v>0.99981995662969558</v>
      </c>
      <c r="R19" s="10">
        <f t="shared" ca="1" si="5"/>
        <v>0.99981995662969558</v>
      </c>
      <c r="S19" s="10">
        <f t="shared" ca="1" si="4"/>
        <v>4.2106379400206646E-4</v>
      </c>
      <c r="T19" s="10">
        <f t="shared" ca="1" si="6"/>
        <v>4.2106379400206646E-4</v>
      </c>
      <c r="U19" s="9">
        <f t="array" aca="1" ref="U19" ca="1">MIN(IF('Normen en duidingsklassen'!$E$13:$E$20&gt;$M19,'Normen en duidingsklassen'!$E$13:$E$20))</f>
        <v>3.3333333333333332E-4</v>
      </c>
      <c r="V19" s="9">
        <f ca="1">IFERROR(MATCH($U19,'Normen en duidingsklassen'!$E$13:$E$20),1)</f>
        <v>4</v>
      </c>
      <c r="W19" s="9" t="str">
        <f ca="1">INDEX('Normen en duidingsklassen'!$D$13:$D$20,V19)</f>
        <v>+0</v>
      </c>
      <c r="X19" s="12" t="b">
        <f t="shared" si="7"/>
        <v>0</v>
      </c>
    </row>
    <row r="20" spans="2:24" x14ac:dyDescent="0.25">
      <c r="B20" s="8" t="s">
        <v>18</v>
      </c>
      <c r="C20" s="9">
        <f t="shared" si="8"/>
        <v>1800</v>
      </c>
      <c r="D20" s="9">
        <f t="shared" si="15"/>
        <v>2000</v>
      </c>
      <c r="E20" s="23" t="s">
        <v>28</v>
      </c>
      <c r="F20" s="8" t="s">
        <v>34</v>
      </c>
      <c r="G20" s="10">
        <f t="shared" ca="1" si="12"/>
        <v>8.2065801675795086E-4</v>
      </c>
      <c r="H20" s="26">
        <f ca="1">G20*(1+RAND()*4)</f>
        <v>8.6115977500245827E-4</v>
      </c>
      <c r="I20" s="8" t="s">
        <v>28</v>
      </c>
      <c r="J20" s="10">
        <f t="shared" ref="J20:J21" ca="1" si="16">G20-0.0002*RAND()</f>
        <v>7.3825800628226365E-4</v>
      </c>
      <c r="K20" s="26">
        <f t="shared" ref="K20:K21" ca="1" si="17">J20*MAX(1+RAND()*1.4)</f>
        <v>1.4205269818323917E-3</v>
      </c>
      <c r="L20" s="31">
        <f t="shared" ca="1" si="0"/>
        <v>7.3825800628226365E-4</v>
      </c>
      <c r="M20" s="10">
        <f t="shared" ca="1" si="0"/>
        <v>1.4205269818323917E-3</v>
      </c>
      <c r="N20" s="11">
        <f t="shared" ca="1" si="1"/>
        <v>1.9241606182991684</v>
      </c>
      <c r="O20" s="32" t="str">
        <f t="shared" ca="1" si="2"/>
        <v>-I</v>
      </c>
      <c r="Q20" s="31">
        <f t="shared" ca="1" si="3"/>
        <v>0.99857947301816763</v>
      </c>
      <c r="R20" s="10">
        <f t="shared" ca="1" si="5"/>
        <v>0.99857947301816763</v>
      </c>
      <c r="S20" s="10">
        <f t="shared" ca="1" si="4"/>
        <v>3.3221610282701862E-3</v>
      </c>
      <c r="T20" s="10">
        <f t="shared" ca="1" si="6"/>
        <v>3.3221610282701862E-3</v>
      </c>
      <c r="U20" s="9">
        <f t="array" aca="1" ref="U20" ca="1">MIN(IF('Normen en duidingsklassen'!$E$13:$E$20&gt;$M20,'Normen en duidingsklassen'!$E$13:$E$20))</f>
        <v>3.0000000000000001E-3</v>
      </c>
      <c r="V20" s="9">
        <f ca="1">IFERROR(MATCH($U20,'Normen en duidingsklassen'!$E$13:$E$20),1)</f>
        <v>6</v>
      </c>
      <c r="W20" s="9" t="str">
        <f ca="1">INDEX('Normen en duidingsklassen'!$D$13:$D$20,V20)</f>
        <v>-I</v>
      </c>
      <c r="X20" s="12" t="b">
        <f t="shared" ca="1" si="7"/>
        <v>0</v>
      </c>
    </row>
    <row r="21" spans="2:24" x14ac:dyDescent="0.25">
      <c r="B21" s="8" t="s">
        <v>19</v>
      </c>
      <c r="C21" s="9">
        <f t="shared" si="8"/>
        <v>2000</v>
      </c>
      <c r="D21" s="9">
        <f t="shared" si="15"/>
        <v>2200</v>
      </c>
      <c r="E21" s="23" t="s">
        <v>28</v>
      </c>
      <c r="F21" s="8" t="s">
        <v>32</v>
      </c>
      <c r="G21" s="10">
        <v>4.2300000000000002E-7</v>
      </c>
      <c r="H21" s="26">
        <f t="shared" ref="H21:H26" ca="1" si="18">G21*(1+RAND()*4)</f>
        <v>6.4836158088885264E-7</v>
      </c>
      <c r="I21" s="8" t="s">
        <v>28</v>
      </c>
      <c r="J21" s="10">
        <f t="shared" ca="1" si="16"/>
        <v>-1.7457645989189585E-4</v>
      </c>
      <c r="K21" s="26">
        <f t="shared" ca="1" si="17"/>
        <v>-2.8003943055699939E-4</v>
      </c>
      <c r="L21" s="31">
        <f t="shared" ca="1" si="0"/>
        <v>-1.7457645989189585E-4</v>
      </c>
      <c r="M21" s="10">
        <f t="shared" ca="1" si="0"/>
        <v>-2.8003943055699939E-4</v>
      </c>
      <c r="N21" s="11">
        <f t="shared" ca="1" si="1"/>
        <v>1.6041076255665287</v>
      </c>
      <c r="O21" s="32" t="str">
        <f t="shared" ca="1" si="2"/>
        <v>+III</v>
      </c>
      <c r="Q21" s="31">
        <f t="shared" ca="1" si="3"/>
        <v>1.0002800394305571</v>
      </c>
      <c r="R21" s="10">
        <f t="shared" ca="1" si="5"/>
        <v>1.0002800394305571</v>
      </c>
      <c r="S21" s="10">
        <f t="shared" ca="1" si="4"/>
        <v>-7.8559406951353135E-4</v>
      </c>
      <c r="T21" s="10">
        <f t="shared" ca="1" si="6"/>
        <v>-7.8559406951353135E-4</v>
      </c>
      <c r="U21" s="9">
        <f t="array" aca="1" ref="U21" ca="1">MIN(IF('Normen en duidingsklassen'!$E$13:$E$20&gt;$M21,'Normen en duidingsklassen'!$E$13:$E$20))</f>
        <v>1.111111111111111E-5</v>
      </c>
      <c r="V21" s="9">
        <f ca="1">IFERROR(MATCH($U21,'Normen en duidingsklassen'!$E$13:$E$20),1)</f>
        <v>1</v>
      </c>
      <c r="W21" s="9" t="str">
        <f ca="1">INDEX('Normen en duidingsklassen'!$D$13:$D$20,V21)</f>
        <v>+III</v>
      </c>
      <c r="X21" s="12" t="b">
        <f t="shared" ca="1" si="7"/>
        <v>0</v>
      </c>
    </row>
    <row r="22" spans="2:24" x14ac:dyDescent="0.25">
      <c r="B22" s="8" t="s">
        <v>20</v>
      </c>
      <c r="C22" s="9">
        <f t="shared" si="8"/>
        <v>2200</v>
      </c>
      <c r="D22" s="9">
        <f t="shared" si="15"/>
        <v>2400</v>
      </c>
      <c r="E22" s="23" t="s">
        <v>28</v>
      </c>
      <c r="F22" s="8" t="s">
        <v>34</v>
      </c>
      <c r="G22" s="10">
        <f t="shared" ref="G22:G23" ca="1" si="19">0.00001+RAND()*0.0012</f>
        <v>3.4999975552901959E-4</v>
      </c>
      <c r="H22" s="26">
        <f t="shared" ca="1" si="18"/>
        <v>1.6830228297176422E-3</v>
      </c>
      <c r="I22" s="8" t="s">
        <v>29</v>
      </c>
      <c r="J22" s="10"/>
      <c r="K22" s="26"/>
      <c r="L22" s="31">
        <f t="shared" ca="1" si="0"/>
        <v>3.4999975552901959E-4</v>
      </c>
      <c r="M22" s="10">
        <f t="shared" ca="1" si="0"/>
        <v>1.6830228297176422E-3</v>
      </c>
      <c r="N22" s="11">
        <f t="shared" ca="1" si="1"/>
        <v>4.8086400151159463</v>
      </c>
      <c r="O22" s="32" t="str">
        <f t="shared" ca="1" si="2"/>
        <v>-I</v>
      </c>
      <c r="Q22" s="31">
        <f t="shared" ca="1" si="3"/>
        <v>0.99831697717028234</v>
      </c>
      <c r="R22" s="10">
        <f t="shared" ca="1" si="5"/>
        <v>0.99831697717028234</v>
      </c>
      <c r="S22" s="10">
        <f t="shared" ca="1" si="4"/>
        <v>1.5749988998805882E-3</v>
      </c>
      <c r="T22" s="10">
        <f t="shared" ca="1" si="6"/>
        <v>1.5749988998805882E-3</v>
      </c>
      <c r="U22" s="9">
        <f t="array" aca="1" ref="U22" ca="1">MIN(IF('Normen en duidingsklassen'!$E$13:$E$20&gt;$M22,'Normen en duidingsklassen'!$E$13:$E$20))</f>
        <v>3.0000000000000001E-3</v>
      </c>
      <c r="V22" s="9">
        <f ca="1">IFERROR(MATCH($U22,'Normen en duidingsklassen'!$E$13:$E$20),1)</f>
        <v>6</v>
      </c>
      <c r="W22" s="9" t="str">
        <f ca="1">INDEX('Normen en duidingsklassen'!$D$13:$D$20,V22)</f>
        <v>-I</v>
      </c>
      <c r="X22" s="12" t="b">
        <f t="shared" si="7"/>
        <v>0</v>
      </c>
    </row>
    <row r="23" spans="2:24" x14ac:dyDescent="0.25">
      <c r="B23" s="8" t="s">
        <v>21</v>
      </c>
      <c r="C23" s="9">
        <f t="shared" si="8"/>
        <v>2400</v>
      </c>
      <c r="D23" s="9">
        <f t="shared" si="15"/>
        <v>2600</v>
      </c>
      <c r="E23" s="23" t="s">
        <v>28</v>
      </c>
      <c r="F23" s="8" t="s">
        <v>34</v>
      </c>
      <c r="G23" s="10">
        <f t="shared" ca="1" si="19"/>
        <v>2.1705112912377665E-4</v>
      </c>
      <c r="H23" s="26">
        <f t="shared" ca="1" si="18"/>
        <v>4.661487001984249E-4</v>
      </c>
      <c r="I23" s="8" t="s">
        <v>28</v>
      </c>
      <c r="J23" s="10">
        <f t="shared" ref="J23:J24" ca="1" si="20">G23-0.0002*RAND()</f>
        <v>1.4360072149327064E-4</v>
      </c>
      <c r="K23" s="26">
        <f t="shared" ref="K23:K24" ca="1" si="21">J23*MAX(1+RAND()*1.4)</f>
        <v>3.3873227682586335E-4</v>
      </c>
      <c r="L23" s="31">
        <f t="shared" ca="1" si="0"/>
        <v>1.4360072149327064E-4</v>
      </c>
      <c r="M23" s="10">
        <f t="shared" ca="1" si="0"/>
        <v>3.3873227682586335E-4</v>
      </c>
      <c r="N23" s="11">
        <f t="shared" ca="1" si="1"/>
        <v>2.3588480148530233</v>
      </c>
      <c r="O23" s="32" t="str">
        <f t="shared" ca="1" si="2"/>
        <v>0</v>
      </c>
      <c r="Q23" s="31">
        <f t="shared" ca="1" si="3"/>
        <v>0.9996612677231741</v>
      </c>
      <c r="R23" s="10">
        <f t="shared" ca="1" si="5"/>
        <v>0.9996612677231741</v>
      </c>
      <c r="S23" s="10">
        <f t="shared" ca="1" si="4"/>
        <v>6.4620324671971793E-4</v>
      </c>
      <c r="T23" s="10">
        <f t="shared" ca="1" si="6"/>
        <v>6.4620324671971793E-4</v>
      </c>
      <c r="U23" s="9">
        <f t="array" aca="1" ref="U23" ca="1">MIN(IF('Normen en duidingsklassen'!$E$13:$E$20&gt;$M23,'Normen en duidingsklassen'!$E$13:$E$20))</f>
        <v>1E-3</v>
      </c>
      <c r="V23" s="9">
        <f ca="1">IFERROR(MATCH($U23,'Normen en duidingsklassen'!$E$13:$E$20),1)</f>
        <v>5</v>
      </c>
      <c r="W23" s="9" t="str">
        <f ca="1">INDEX('Normen en duidingsklassen'!$D$13:$D$20,V23)</f>
        <v>0</v>
      </c>
      <c r="X23" s="12" t="b">
        <f t="shared" ca="1" si="7"/>
        <v>0</v>
      </c>
    </row>
    <row r="24" spans="2:24" x14ac:dyDescent="0.25">
      <c r="B24" s="8" t="s">
        <v>22</v>
      </c>
      <c r="C24" s="9">
        <f t="shared" si="8"/>
        <v>2600</v>
      </c>
      <c r="D24" s="9">
        <f t="shared" si="15"/>
        <v>2800</v>
      </c>
      <c r="E24" s="23" t="s">
        <v>28</v>
      </c>
      <c r="F24" s="8" t="s">
        <v>32</v>
      </c>
      <c r="G24" s="10">
        <v>3.2299999999999999E-4</v>
      </c>
      <c r="H24" s="26">
        <f t="shared" ca="1" si="18"/>
        <v>1.4065897688753893E-3</v>
      </c>
      <c r="I24" s="8" t="s">
        <v>28</v>
      </c>
      <c r="J24" s="10">
        <f t="shared" ca="1" si="20"/>
        <v>3.1646840048153886E-4</v>
      </c>
      <c r="K24" s="26">
        <f t="shared" ca="1" si="21"/>
        <v>7.3587792984706199E-4</v>
      </c>
      <c r="L24" s="31">
        <f t="shared" ca="1" si="0"/>
        <v>3.1646840048153886E-4</v>
      </c>
      <c r="M24" s="10">
        <f t="shared" ca="1" si="0"/>
        <v>7.3587792984706199E-4</v>
      </c>
      <c r="N24" s="11">
        <f t="shared" ca="1" si="1"/>
        <v>2.3252809087016235</v>
      </c>
      <c r="O24" s="32" t="str">
        <f t="shared" ca="1" si="2"/>
        <v>0</v>
      </c>
      <c r="Q24" s="31">
        <f t="shared" ca="1" si="3"/>
        <v>0.99926412207015292</v>
      </c>
      <c r="R24" s="10">
        <f t="shared" ca="1" si="5"/>
        <v>0.99926412207015292</v>
      </c>
      <c r="S24" s="10">
        <f t="shared" ca="1" si="4"/>
        <v>1.4241078021669249E-3</v>
      </c>
      <c r="T24" s="10">
        <f t="shared" ca="1" si="6"/>
        <v>1.4241078021669249E-3</v>
      </c>
      <c r="U24" s="9">
        <f t="array" aca="1" ref="U24" ca="1">MIN(IF('Normen en duidingsklassen'!$E$13:$E$20&gt;$M24,'Normen en duidingsklassen'!$E$13:$E$20))</f>
        <v>1E-3</v>
      </c>
      <c r="V24" s="9">
        <f ca="1">IFERROR(MATCH($U24,'Normen en duidingsklassen'!$E$13:$E$20),1)</f>
        <v>5</v>
      </c>
      <c r="W24" s="9" t="str">
        <f ca="1">INDEX('Normen en duidingsklassen'!$D$13:$D$20,V24)</f>
        <v>0</v>
      </c>
      <c r="X24" s="12" t="b">
        <f t="shared" ca="1" si="7"/>
        <v>0</v>
      </c>
    </row>
    <row r="25" spans="2:24" x14ac:dyDescent="0.25">
      <c r="B25" s="8" t="s">
        <v>23</v>
      </c>
      <c r="C25" s="9">
        <f t="shared" si="8"/>
        <v>2800</v>
      </c>
      <c r="D25" s="9">
        <f t="shared" si="15"/>
        <v>3000</v>
      </c>
      <c r="E25" s="23" t="s">
        <v>28</v>
      </c>
      <c r="F25" s="8" t="s">
        <v>32</v>
      </c>
      <c r="G25" s="10">
        <v>6.3399999999999996E-5</v>
      </c>
      <c r="H25" s="26">
        <f t="shared" ca="1" si="18"/>
        <v>1.4966302442875296E-4</v>
      </c>
      <c r="I25" s="8" t="s">
        <v>29</v>
      </c>
      <c r="J25" s="10"/>
      <c r="K25" s="26"/>
      <c r="L25" s="31">
        <f t="shared" si="0"/>
        <v>6.3399999999999996E-5</v>
      </c>
      <c r="M25" s="10">
        <f t="shared" ca="1" si="0"/>
        <v>1.4966302442875296E-4</v>
      </c>
      <c r="N25" s="11">
        <f t="shared" ca="1" si="1"/>
        <v>2.360615527267397</v>
      </c>
      <c r="O25" s="32" t="str">
        <f t="shared" ca="1" si="2"/>
        <v>+0</v>
      </c>
      <c r="Q25" s="31">
        <f t="shared" ca="1" si="3"/>
        <v>0.99985033697557124</v>
      </c>
      <c r="R25" s="10">
        <f t="shared" ca="1" si="5"/>
        <v>0.99985033697557124</v>
      </c>
      <c r="S25" s="10">
        <f t="shared" si="4"/>
        <v>2.853E-4</v>
      </c>
      <c r="T25" s="10">
        <f t="shared" si="6"/>
        <v>2.853E-4</v>
      </c>
      <c r="U25" s="9">
        <f t="array" aca="1" ref="U25" ca="1">MIN(IF('Normen en duidingsklassen'!$E$13:$E$20&gt;$M25,'Normen en duidingsklassen'!$E$13:$E$20))</f>
        <v>3.3333333333333332E-4</v>
      </c>
      <c r="V25" s="9">
        <f ca="1">IFERROR(MATCH($U25,'Normen en duidingsklassen'!$E$13:$E$20),1)</f>
        <v>4</v>
      </c>
      <c r="W25" s="9" t="str">
        <f ca="1">INDEX('Normen en duidingsklassen'!$D$13:$D$20,V25)</f>
        <v>+0</v>
      </c>
      <c r="X25" s="12" t="b">
        <f t="shared" si="7"/>
        <v>0</v>
      </c>
    </row>
    <row r="26" spans="2:24" x14ac:dyDescent="0.25">
      <c r="B26" s="8" t="s">
        <v>24</v>
      </c>
      <c r="C26" s="9">
        <f t="shared" si="8"/>
        <v>3000</v>
      </c>
      <c r="D26" s="9">
        <f t="shared" si="15"/>
        <v>3200</v>
      </c>
      <c r="E26" s="23" t="s">
        <v>28</v>
      </c>
      <c r="F26" s="8" t="s">
        <v>32</v>
      </c>
      <c r="G26" s="10">
        <v>1.4300000000000001E-6</v>
      </c>
      <c r="H26" s="26">
        <f t="shared" ca="1" si="18"/>
        <v>3.1892453087430939E-6</v>
      </c>
      <c r="I26" s="8" t="s">
        <v>28</v>
      </c>
      <c r="J26" s="10">
        <f t="shared" ref="J26" ca="1" si="22">G26-0.0002*RAND()</f>
        <v>-9.3069682347028123E-5</v>
      </c>
      <c r="K26" s="26">
        <f t="shared" ref="K26:K27" ca="1" si="23">J26*MAX(1+RAND()*1.4)</f>
        <v>-1.0526533810702978E-4</v>
      </c>
      <c r="L26" s="31">
        <f t="shared" ca="1" si="0"/>
        <v>-9.3069682347028123E-5</v>
      </c>
      <c r="M26" s="10">
        <f t="shared" ca="1" si="0"/>
        <v>-1.0526533810702978E-4</v>
      </c>
      <c r="N26" s="11">
        <f t="shared" ca="1" si="1"/>
        <v>1.1310379003393158</v>
      </c>
      <c r="O26" s="32" t="str">
        <f t="shared" ca="1" si="2"/>
        <v>+III</v>
      </c>
      <c r="Q26" s="31">
        <f t="shared" ca="1" si="3"/>
        <v>1.0001052653381071</v>
      </c>
      <c r="R26" s="10">
        <f t="shared" ca="1" si="5"/>
        <v>1.0001052653381071</v>
      </c>
      <c r="S26" s="10">
        <f t="shared" ca="1" si="4"/>
        <v>-4.1881357056162657E-4</v>
      </c>
      <c r="T26" s="10">
        <f t="shared" ca="1" si="6"/>
        <v>-4.1881357056162657E-4</v>
      </c>
      <c r="U26" s="9">
        <f t="array" aca="1" ref="U26" ca="1">MIN(IF('Normen en duidingsklassen'!$E$13:$E$20&gt;$M26,'Normen en duidingsklassen'!$E$13:$E$20))</f>
        <v>1.111111111111111E-5</v>
      </c>
      <c r="V26" s="9">
        <f ca="1">IFERROR(MATCH($U26,'Normen en duidingsklassen'!$E$13:$E$20),1)</f>
        <v>1</v>
      </c>
      <c r="W26" s="9" t="str">
        <f ca="1">INDEX('Normen en duidingsklassen'!$D$13:$D$20,V26)</f>
        <v>+III</v>
      </c>
      <c r="X26" s="12" t="b">
        <f t="shared" ca="1" si="7"/>
        <v>0</v>
      </c>
    </row>
    <row r="27" spans="2:24" x14ac:dyDescent="0.25">
      <c r="B27" s="8" t="s">
        <v>25</v>
      </c>
      <c r="C27" s="9">
        <f t="shared" si="8"/>
        <v>3200</v>
      </c>
      <c r="D27" s="9">
        <f t="shared" si="15"/>
        <v>3400</v>
      </c>
      <c r="E27" s="23" t="s">
        <v>28</v>
      </c>
      <c r="F27" s="8" t="s">
        <v>33</v>
      </c>
      <c r="G27" s="10"/>
      <c r="H27" s="26"/>
      <c r="I27" s="8" t="s">
        <v>28</v>
      </c>
      <c r="J27" s="10">
        <f>1/132406</f>
        <v>7.5525278310650572E-6</v>
      </c>
      <c r="K27" s="26">
        <f t="shared" ca="1" si="23"/>
        <v>1.5266750549221178E-5</v>
      </c>
      <c r="L27" s="31">
        <f t="shared" si="0"/>
        <v>7.5525278310650572E-6</v>
      </c>
      <c r="M27" s="10">
        <f t="shared" ca="1" si="0"/>
        <v>1.5266750549221178E-5</v>
      </c>
      <c r="N27" s="11">
        <f t="shared" ca="1" si="1"/>
        <v>2.0214093732201794</v>
      </c>
      <c r="O27" s="32" t="str">
        <f t="shared" ca="1" si="2"/>
        <v>+II</v>
      </c>
      <c r="Q27" s="31">
        <f t="shared" ca="1" si="3"/>
        <v>0.99998473324945081</v>
      </c>
      <c r="R27" s="10">
        <f t="shared" ca="1" si="5"/>
        <v>0.99998473324945081</v>
      </c>
      <c r="S27" s="10">
        <f t="shared" si="4"/>
        <v>3.3986375239792759E-5</v>
      </c>
      <c r="T27" s="10">
        <f t="shared" si="6"/>
        <v>3.3986375239792759E-5</v>
      </c>
      <c r="U27" s="9">
        <f t="array" aca="1" ref="U27" ca="1">MIN(IF('Normen en duidingsklassen'!$E$13:$E$20&gt;$M27,'Normen en duidingsklassen'!$E$13:$E$20))</f>
        <v>3.3333333333333335E-5</v>
      </c>
      <c r="V27" s="9">
        <f ca="1">IFERROR(MATCH($U27,'Normen en duidingsklassen'!$E$13:$E$20),1)</f>
        <v>2</v>
      </c>
      <c r="W27" s="9" t="str">
        <f ca="1">INDEX('Normen en duidingsklassen'!$D$13:$D$20,V27)</f>
        <v>+II</v>
      </c>
      <c r="X27" s="12" t="b">
        <f t="shared" si="7"/>
        <v>0</v>
      </c>
    </row>
    <row r="28" spans="2:24" x14ac:dyDescent="0.25">
      <c r="B28" s="8" t="s">
        <v>26</v>
      </c>
      <c r="C28" s="9">
        <f t="shared" si="8"/>
        <v>3400</v>
      </c>
      <c r="D28" s="9">
        <f t="shared" si="15"/>
        <v>3600</v>
      </c>
      <c r="E28" s="23" t="s">
        <v>28</v>
      </c>
      <c r="F28" s="8" t="s">
        <v>33</v>
      </c>
      <c r="G28" s="10"/>
      <c r="H28" s="26"/>
      <c r="I28" s="8" t="s">
        <v>29</v>
      </c>
      <c r="J28" s="10"/>
      <c r="K28" s="26"/>
      <c r="L28" s="31" t="str">
        <f>IF($E28="Nee",0,IF(ISNUMBER(J28),J28,IF(ISNUMBER(G28),G28,"-")))</f>
        <v>-</v>
      </c>
      <c r="M28" s="10" t="str">
        <f t="shared" ref="M28:M29" si="24">IF($E28="Nee",0,IF(ISNUMBER(K28),K28,IF(ISNUMBER(H28),H28,"-")))</f>
        <v>-</v>
      </c>
      <c r="N28" s="11" t="str">
        <f>IF(ISNUMBER(L28),IF(M28=0,1,M28/L28),"-")</f>
        <v>-</v>
      </c>
      <c r="O28" s="32" t="str">
        <f>IF(ISNUMBER($M28),W28,IF($X28,"D","ND"))</f>
        <v>ND</v>
      </c>
      <c r="Q28" s="31">
        <f t="shared" si="3"/>
        <v>1</v>
      </c>
      <c r="R28" s="10">
        <f t="shared" si="5"/>
        <v>1</v>
      </c>
      <c r="S28" s="10">
        <f t="shared" si="4"/>
        <v>0</v>
      </c>
      <c r="T28" s="10">
        <f t="shared" si="6"/>
        <v>0</v>
      </c>
      <c r="U28" s="9">
        <f t="array" ref="U28">MIN(IF('Normen en duidingsklassen'!$E$13:$E$20&gt;$M28,'Normen en duidingsklassen'!$E$13:$E$20))</f>
        <v>0</v>
      </c>
      <c r="V28" s="9">
        <f>IFERROR(MATCH($U28,'Normen en duidingsklassen'!$E$13:$E$20),1)</f>
        <v>1</v>
      </c>
      <c r="W28" s="9" t="str">
        <f>INDEX('Normen en duidingsklassen'!$D$13:$D$20,V28)</f>
        <v>+III</v>
      </c>
      <c r="X28" s="12" t="b">
        <f t="shared" si="7"/>
        <v>0</v>
      </c>
    </row>
    <row r="29" spans="2:24" ht="15.75" thickBot="1" x14ac:dyDescent="0.3">
      <c r="B29" s="13" t="s">
        <v>27</v>
      </c>
      <c r="C29" s="14">
        <f t="shared" si="8"/>
        <v>3600</v>
      </c>
      <c r="D29" s="14">
        <f t="shared" si="15"/>
        <v>3800</v>
      </c>
      <c r="E29" s="24" t="s">
        <v>28</v>
      </c>
      <c r="F29" s="13" t="s">
        <v>33</v>
      </c>
      <c r="G29" s="15"/>
      <c r="H29" s="27"/>
      <c r="I29" s="13" t="s">
        <v>29</v>
      </c>
      <c r="J29" s="15"/>
      <c r="K29" s="27"/>
      <c r="L29" s="33" t="str">
        <f t="shared" ref="L29" si="25">IF($E29="Nee",0,IF(ISNUMBER(J29),J29,IF(ISNUMBER(G29),G29,"-")))</f>
        <v>-</v>
      </c>
      <c r="M29" s="15" t="str">
        <f t="shared" si="24"/>
        <v>-</v>
      </c>
      <c r="N29" s="16" t="str">
        <f t="shared" ref="N29" si="26">IF(ISNUMBER(L29),IF(M29=0,1,M29/L29),"-")</f>
        <v>-</v>
      </c>
      <c r="O29" s="34" t="str">
        <f>IF(ISNUMBER($M29),W29,IF($X29,"D","ND"))</f>
        <v>ND</v>
      </c>
      <c r="Q29" s="33">
        <f>IF(AND(F29="Geen faalkans",I29="Nee"),1,1-M29)</f>
        <v>1</v>
      </c>
      <c r="R29" s="15">
        <f t="shared" si="5"/>
        <v>1</v>
      </c>
      <c r="S29" s="15">
        <f>IF(AND(F29="Geen faalkans",I29="Nee"),0,L29*$C$3)</f>
        <v>0</v>
      </c>
      <c r="T29" s="15">
        <f t="shared" si="6"/>
        <v>0</v>
      </c>
      <c r="U29" s="14">
        <f t="array" ref="U29">MIN(IF('Normen en duidingsklassen'!$E$13:$E$20&gt;$M29,'Normen en duidingsklassen'!$E$13:$E$20))</f>
        <v>0</v>
      </c>
      <c r="V29" s="14">
        <f>IFERROR(MATCH($U29,'Normen en duidingsklassen'!$E$13:$E$20),1)</f>
        <v>1</v>
      </c>
      <c r="W29" s="14" t="str">
        <f>INDEX('Normen en duidingsklassen'!$D$13:$D$20,V29)</f>
        <v>+III</v>
      </c>
      <c r="X29" s="17" t="b">
        <f t="shared" si="7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92" priority="11">
      <formula>IF($E10="Nee",TRUE,FALSE)</formula>
    </cfRule>
  </conditionalFormatting>
  <conditionalFormatting sqref="J10:K29">
    <cfRule type="expression" dxfId="91" priority="10">
      <formula>IF($I10="Nee",TRUE,FALSE)</formula>
    </cfRule>
  </conditionalFormatting>
  <conditionalFormatting sqref="O10:O29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FD28-B180-4498-9DC6-40DE71BCB342}">
  <dimension ref="B2:Y25"/>
  <sheetViews>
    <sheetView workbookViewId="0">
      <selection activeCell="J11" sqref="J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1" width="14.85546875" customWidth="1"/>
    <col min="12" max="12" width="11.8554687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77</v>
      </c>
    </row>
    <row r="3" spans="2:25" x14ac:dyDescent="0.25">
      <c r="B3" s="36" t="s">
        <v>52</v>
      </c>
      <c r="C3" s="7">
        <v>3</v>
      </c>
    </row>
    <row r="4" spans="2:25" x14ac:dyDescent="0.25">
      <c r="B4" s="40" t="s">
        <v>55</v>
      </c>
      <c r="C4" s="26">
        <f ca="1">IFERROR(MIN(1-PRODUCT(Q10:Q23),MAX(S10:S23)),"GR")</f>
        <v>3.4189721189900385E-3</v>
      </c>
    </row>
    <row r="5" spans="2:25" x14ac:dyDescent="0.25">
      <c r="B5" s="40" t="s">
        <v>49</v>
      </c>
      <c r="C5" s="26">
        <f ca="1">MIN(1-PRODUCT(R10:R23),MAX(T10:T23))</f>
        <v>3.4189721189900385E-3</v>
      </c>
    </row>
    <row r="6" spans="2:25" ht="15.75" thickBot="1" x14ac:dyDescent="0.3">
      <c r="B6" s="41" t="s">
        <v>56</v>
      </c>
      <c r="C6" s="17" t="str">
        <f ca="1">IF(1-PRODUCT(R10:R23)&gt;MAX(T10:T23),"Ja","Nee")</f>
        <v>Ja</v>
      </c>
    </row>
    <row r="8" spans="2:25" ht="15.75" thickBot="1" x14ac:dyDescent="0.3">
      <c r="Q8" t="s">
        <v>75</v>
      </c>
    </row>
    <row r="9" spans="2:25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72</v>
      </c>
      <c r="V9" s="38" t="s">
        <v>73</v>
      </c>
      <c r="W9" s="4"/>
      <c r="X9" s="39" t="s">
        <v>74</v>
      </c>
      <c r="Y9" s="35"/>
    </row>
    <row r="10" spans="2:25" x14ac:dyDescent="0.25">
      <c r="B10" s="3" t="s">
        <v>8</v>
      </c>
      <c r="C10" s="4">
        <v>0</v>
      </c>
      <c r="D10" s="4">
        <v>80</v>
      </c>
      <c r="E10" s="22" t="s">
        <v>28</v>
      </c>
      <c r="F10" s="3" t="s">
        <v>32</v>
      </c>
      <c r="G10" s="5">
        <v>0.06</v>
      </c>
      <c r="H10" s="25">
        <f ca="1">G10*(1+RAND()*4)</f>
        <v>0.24872936405835208</v>
      </c>
      <c r="I10" s="3" t="s">
        <v>28</v>
      </c>
      <c r="J10" s="5">
        <v>5.6300000000000005E-7</v>
      </c>
      <c r="K10" s="25">
        <f ca="1">J10*MAX(1+RAND()*1.4)</f>
        <v>8.876915022668829E-7</v>
      </c>
      <c r="L10" s="29">
        <f t="shared" ref="L10:M21" si="0">IF($E10="Nee",0,IF(ISNUMBER(J10),J10,IF(ISNUMBER(G10),G10,"-")))</f>
        <v>5.6300000000000005E-7</v>
      </c>
      <c r="M10" s="5">
        <f t="shared" ca="1" si="0"/>
        <v>8.876915022668829E-7</v>
      </c>
      <c r="N10" s="6">
        <f t="shared" ref="N10:N21" ca="1" si="1">IF(ISNUMBER(L10),IF(M10=0,1,M10/L10),"-")</f>
        <v>1.5767167002964171</v>
      </c>
      <c r="O10" s="30" t="str">
        <f t="shared" ref="O10:O21" ca="1" si="2">IF(ISNUMBER($M10),W10,IF($X10,"D","ND"))</f>
        <v>+III</v>
      </c>
      <c r="Q10" s="31">
        <f t="shared" ref="Q10:Q22" ca="1" si="3">IF(AND(F10="Geen faalkans",I10="Nee"),1,1-M10)</f>
        <v>0.9999991123084977</v>
      </c>
      <c r="R10" s="10">
        <f ca="1">IF(M10="-",1,Q10)</f>
        <v>0.9999991123084977</v>
      </c>
      <c r="S10" s="10">
        <f t="shared" ref="S10:S22" si="4">IF(AND(F10="Geen faalkans",I10="Nee"),0,L10*$C$3)</f>
        <v>1.6890000000000003E-6</v>
      </c>
      <c r="T10" s="10">
        <f>IF(L10="-",0,S10)</f>
        <v>1.6890000000000003E-6</v>
      </c>
      <c r="U10" s="9">
        <f t="array" aca="1" ref="U10" ca="1">MIN(IF('Normen en duidingsklassen'!$E$13:$E$20&gt;$M10,'Normen en duidingsklassen'!$E$13:$E$20))</f>
        <v>1.111111111111111E-5</v>
      </c>
      <c r="V10" s="9">
        <f ca="1">IFERROR(MATCH($U10,'Normen en duidingsklassen'!$E$13:$E$20),1)</f>
        <v>1</v>
      </c>
      <c r="W10" s="9" t="str">
        <f ca="1"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f>D10</f>
        <v>80</v>
      </c>
      <c r="D11" s="9">
        <v>110</v>
      </c>
      <c r="E11" s="23" t="s">
        <v>29</v>
      </c>
      <c r="F11" s="8" t="s">
        <v>33</v>
      </c>
      <c r="G11" s="10"/>
      <c r="H11" s="26"/>
      <c r="I11" s="8" t="s">
        <v>29</v>
      </c>
      <c r="J11" s="10"/>
      <c r="K11" s="26"/>
      <c r="L11" s="31">
        <f t="shared" si="0"/>
        <v>0</v>
      </c>
      <c r="M11" s="10">
        <f t="shared" si="0"/>
        <v>0</v>
      </c>
      <c r="N11" s="11">
        <f t="shared" si="1"/>
        <v>1</v>
      </c>
      <c r="O11" s="32" t="str">
        <f t="shared" si="2"/>
        <v>+III</v>
      </c>
      <c r="Q11" s="31">
        <f t="shared" si="3"/>
        <v>1</v>
      </c>
      <c r="R11" s="10">
        <f t="shared" ref="R11:R23" si="5">IF(M11="-",1,Q11)</f>
        <v>1</v>
      </c>
      <c r="S11" s="10">
        <f t="shared" si="4"/>
        <v>0</v>
      </c>
      <c r="T11" s="10">
        <f t="shared" ref="T11:T23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3" si="7">IF($E11="Ja",IF($I11="Ja",NOT(ISNUMBER($J11)),FALSE),FALSE)</f>
        <v>0</v>
      </c>
    </row>
    <row r="12" spans="2:25" x14ac:dyDescent="0.25">
      <c r="B12" s="8" t="s">
        <v>12</v>
      </c>
      <c r="C12" s="9">
        <f>D11</f>
        <v>110</v>
      </c>
      <c r="D12" s="9">
        <v>700</v>
      </c>
      <c r="E12" s="23" t="s">
        <v>28</v>
      </c>
      <c r="F12" s="8" t="s">
        <v>32</v>
      </c>
      <c r="G12" s="10">
        <f t="shared" ref="G12" ca="1" si="8">0.00001+RAND()*0.0012</f>
        <v>3.482704524554844E-4</v>
      </c>
      <c r="H12" s="26">
        <f t="shared" ref="H12" ca="1" si="9">G12*(1+RAND()*4)</f>
        <v>1.7328552376500992E-3</v>
      </c>
      <c r="I12" s="8" t="s">
        <v>29</v>
      </c>
      <c r="J12" s="10"/>
      <c r="K12" s="26"/>
      <c r="L12" s="31">
        <f t="shared" ca="1" si="0"/>
        <v>3.482704524554844E-4</v>
      </c>
      <c r="M12" s="10">
        <f t="shared" ca="1" si="0"/>
        <v>1.7328552376500992E-3</v>
      </c>
      <c r="N12" s="11">
        <f t="shared" ca="1" si="1"/>
        <v>4.9756022235954429</v>
      </c>
      <c r="O12" s="32" t="str">
        <f t="shared" ca="1" si="2"/>
        <v>-I</v>
      </c>
      <c r="Q12" s="31">
        <f t="shared" ca="1" si="3"/>
        <v>0.9982671447623499</v>
      </c>
      <c r="R12" s="10">
        <f t="shared" ca="1" si="5"/>
        <v>0.9982671447623499</v>
      </c>
      <c r="S12" s="10">
        <f t="shared" ca="1" si="4"/>
        <v>1.0448113573664531E-3</v>
      </c>
      <c r="T12" s="10">
        <f t="shared" ca="1" si="6"/>
        <v>1.0448113573664531E-3</v>
      </c>
      <c r="U12" s="9">
        <f t="array" aca="1" ref="U12" ca="1">MIN(IF('Normen en duidingsklassen'!$E$13:$E$20&gt;$M12,'Normen en duidingsklassen'!$E$13:$E$20))</f>
        <v>3.0000000000000001E-3</v>
      </c>
      <c r="V12" s="9">
        <f ca="1">IFERROR(MATCH($U12,'Normen en duidingsklassen'!$E$13:$E$20),1)</f>
        <v>6</v>
      </c>
      <c r="W12" s="9" t="str">
        <f ca="1">INDEX('Normen en duidingsklassen'!$D$13:$D$20,V12)</f>
        <v>-I</v>
      </c>
      <c r="X12" s="12" t="b">
        <f t="shared" si="7"/>
        <v>0</v>
      </c>
    </row>
    <row r="13" spans="2:25" x14ac:dyDescent="0.25">
      <c r="B13" s="8" t="s">
        <v>13</v>
      </c>
      <c r="C13" s="9">
        <f t="shared" ref="C13:C23" si="10">D12</f>
        <v>700</v>
      </c>
      <c r="D13" s="9">
        <v>910</v>
      </c>
      <c r="E13" s="23" t="s">
        <v>28</v>
      </c>
      <c r="F13" s="8" t="s">
        <v>33</v>
      </c>
      <c r="G13" s="10"/>
      <c r="H13" s="26"/>
      <c r="I13" s="8" t="s">
        <v>28</v>
      </c>
      <c r="J13" s="10">
        <v>4.2499999999999997E-8</v>
      </c>
      <c r="K13" s="26">
        <f t="shared" ref="K13:K15" ca="1" si="11">J13*MAX(1+RAND()*1.4)</f>
        <v>5.2526901463310607E-8</v>
      </c>
      <c r="L13" s="31">
        <f t="shared" si="0"/>
        <v>4.2499999999999997E-8</v>
      </c>
      <c r="M13" s="10">
        <f t="shared" ca="1" si="0"/>
        <v>5.2526901463310607E-8</v>
      </c>
      <c r="N13" s="11">
        <f t="shared" ca="1" si="1"/>
        <v>1.2359270932543673</v>
      </c>
      <c r="O13" s="32" t="str">
        <f t="shared" ca="1" si="2"/>
        <v>+III</v>
      </c>
      <c r="Q13" s="31">
        <f t="shared" ca="1" si="3"/>
        <v>0.9999999474730985</v>
      </c>
      <c r="R13" s="10">
        <f t="shared" ca="1" si="5"/>
        <v>0.9999999474730985</v>
      </c>
      <c r="S13" s="10">
        <f t="shared" si="4"/>
        <v>1.275E-7</v>
      </c>
      <c r="T13" s="10">
        <f t="shared" si="6"/>
        <v>1.275E-7</v>
      </c>
      <c r="U13" s="9">
        <f t="array" aca="1" ref="U13" ca="1">MIN(IF('Normen en duidingsklassen'!$E$13:$E$20&gt;$M13,'Normen en duidingsklassen'!$E$13:$E$20))</f>
        <v>1.111111111111111E-5</v>
      </c>
      <c r="V13" s="9">
        <f ca="1">IFERROR(MATCH($U13,'Normen en duidingsklassen'!$E$13:$E$20),1)</f>
        <v>1</v>
      </c>
      <c r="W13" s="9" t="str">
        <f ca="1"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14</v>
      </c>
      <c r="C14" s="9">
        <f t="shared" si="10"/>
        <v>910</v>
      </c>
      <c r="D14" s="9">
        <v>1200</v>
      </c>
      <c r="E14" s="23" t="s">
        <v>28</v>
      </c>
      <c r="F14" s="8" t="s">
        <v>32</v>
      </c>
      <c r="G14" s="10">
        <f t="shared" ref="G14:G18" ca="1" si="12">0.00001+RAND()*0.0012</f>
        <v>1.1669820661319476E-3</v>
      </c>
      <c r="H14" s="26">
        <f t="shared" ref="H14:H17" ca="1" si="13">G14*(1+RAND()*4)</f>
        <v>4.8469657221204858E-3</v>
      </c>
      <c r="I14" s="8" t="s">
        <v>28</v>
      </c>
      <c r="J14" s="10">
        <f t="shared" ref="J14:J15" ca="1" si="14">G14-0.0002*RAND()</f>
        <v>1.1396573729966794E-3</v>
      </c>
      <c r="K14" s="26">
        <f t="shared" ca="1" si="11"/>
        <v>1.6645249184704428E-3</v>
      </c>
      <c r="L14" s="31">
        <f t="shared" ca="1" si="0"/>
        <v>1.1396573729966794E-3</v>
      </c>
      <c r="M14" s="10">
        <f t="shared" ca="1" si="0"/>
        <v>1.6645249184704428E-3</v>
      </c>
      <c r="N14" s="11">
        <f t="shared" ca="1" si="1"/>
        <v>1.4605485454752485</v>
      </c>
      <c r="O14" s="32" t="str">
        <f t="shared" ca="1" si="2"/>
        <v>-I</v>
      </c>
      <c r="Q14" s="31">
        <f t="shared" ca="1" si="3"/>
        <v>0.99833547508152953</v>
      </c>
      <c r="R14" s="10">
        <f t="shared" ca="1" si="5"/>
        <v>0.99833547508152953</v>
      </c>
      <c r="S14" s="10">
        <f t="shared" ca="1" si="4"/>
        <v>3.4189721189900385E-3</v>
      </c>
      <c r="T14" s="10">
        <f t="shared" ca="1" si="6"/>
        <v>3.4189721189900385E-3</v>
      </c>
      <c r="U14" s="9">
        <f t="array" aca="1" ref="U14" ca="1">MIN(IF('Normen en duidingsklassen'!$E$13:$E$20&gt;$M14,'Normen en duidingsklassen'!$E$13:$E$20))</f>
        <v>3.0000000000000001E-3</v>
      </c>
      <c r="V14" s="9">
        <f ca="1">IFERROR(MATCH($U14,'Normen en duidingsklassen'!$E$13:$E$20),1)</f>
        <v>6</v>
      </c>
      <c r="W14" s="9" t="str">
        <f ca="1">INDEX('Normen en duidingsklassen'!$D$13:$D$20,V14)</f>
        <v>-I</v>
      </c>
      <c r="X14" s="12" t="b">
        <f t="shared" ca="1" si="7"/>
        <v>0</v>
      </c>
    </row>
    <row r="15" spans="2:25" x14ac:dyDescent="0.25">
      <c r="B15" s="8" t="s">
        <v>15</v>
      </c>
      <c r="C15" s="9">
        <f t="shared" si="10"/>
        <v>1200</v>
      </c>
      <c r="D15" s="9">
        <v>1400</v>
      </c>
      <c r="E15" s="23" t="s">
        <v>28</v>
      </c>
      <c r="F15" s="8" t="s">
        <v>32</v>
      </c>
      <c r="G15" s="10">
        <f t="shared" ca="1" si="12"/>
        <v>1.6767835724184737E-4</v>
      </c>
      <c r="H15" s="26">
        <f t="shared" ca="1" si="13"/>
        <v>7.3404260419755827E-4</v>
      </c>
      <c r="I15" s="8" t="s">
        <v>28</v>
      </c>
      <c r="J15" s="10">
        <f t="shared" ca="1" si="14"/>
        <v>1.3001374850648081E-4</v>
      </c>
      <c r="K15" s="26">
        <f t="shared" ca="1" si="11"/>
        <v>1.3543088444974773E-4</v>
      </c>
      <c r="L15" s="31">
        <f t="shared" ca="1" si="0"/>
        <v>1.3001374850648081E-4</v>
      </c>
      <c r="M15" s="10">
        <f t="shared" ca="1" si="0"/>
        <v>1.3543088444974773E-4</v>
      </c>
      <c r="N15" s="11">
        <f t="shared" ca="1" si="1"/>
        <v>1.0416658699983323</v>
      </c>
      <c r="O15" s="32" t="str">
        <f t="shared" ca="1" si="2"/>
        <v>+0</v>
      </c>
      <c r="Q15" s="31">
        <f t="shared" ca="1" si="3"/>
        <v>0.99986456911555022</v>
      </c>
      <c r="R15" s="10">
        <f t="shared" ca="1" si="5"/>
        <v>0.99986456911555022</v>
      </c>
      <c r="S15" s="10">
        <f t="shared" ca="1" si="4"/>
        <v>3.9004124551944244E-4</v>
      </c>
      <c r="T15" s="10">
        <f t="shared" ca="1" si="6"/>
        <v>3.9004124551944244E-4</v>
      </c>
      <c r="U15" s="9">
        <f t="array" aca="1" ref="U15" ca="1">MIN(IF('Normen en duidingsklassen'!$E$13:$E$20&gt;$M15,'Normen en duidingsklassen'!$E$13:$E$20))</f>
        <v>3.3333333333333332E-4</v>
      </c>
      <c r="V15" s="9">
        <f ca="1">IFERROR(MATCH($U15,'Normen en duidingsklassen'!$E$13:$E$20),1)</f>
        <v>4</v>
      </c>
      <c r="W15" s="9" t="str">
        <f ca="1">INDEX('Normen en duidingsklassen'!$D$13:$D$20,V15)</f>
        <v>+0</v>
      </c>
      <c r="X15" s="12" t="b">
        <f t="shared" ca="1" si="7"/>
        <v>0</v>
      </c>
    </row>
    <row r="16" spans="2:25" x14ac:dyDescent="0.25">
      <c r="B16" s="8" t="s">
        <v>16</v>
      </c>
      <c r="C16" s="9">
        <f t="shared" si="10"/>
        <v>1400</v>
      </c>
      <c r="D16" s="9">
        <f>C16+200</f>
        <v>1600</v>
      </c>
      <c r="E16" s="23" t="s">
        <v>28</v>
      </c>
      <c r="F16" s="8" t="s">
        <v>32</v>
      </c>
      <c r="G16" s="10">
        <f t="shared" ca="1" si="12"/>
        <v>4.741641644798546E-4</v>
      </c>
      <c r="H16" s="26">
        <f t="shared" ca="1" si="13"/>
        <v>1.1051005938900371E-3</v>
      </c>
      <c r="I16" s="8" t="s">
        <v>29</v>
      </c>
      <c r="J16" s="10"/>
      <c r="K16" s="26"/>
      <c r="L16" s="31">
        <f t="shared" ca="1" si="0"/>
        <v>4.741641644798546E-4</v>
      </c>
      <c r="M16" s="10">
        <f t="shared" ca="1" si="0"/>
        <v>1.1051005938900371E-3</v>
      </c>
      <c r="N16" s="11">
        <f t="shared" ca="1" si="1"/>
        <v>2.330628665500909</v>
      </c>
      <c r="O16" s="32" t="str">
        <f t="shared" ca="1" si="2"/>
        <v>-I</v>
      </c>
      <c r="Q16" s="31">
        <f t="shared" ca="1" si="3"/>
        <v>0.99889489940610998</v>
      </c>
      <c r="R16" s="10">
        <f t="shared" ca="1" si="5"/>
        <v>0.99889489940610998</v>
      </c>
      <c r="S16" s="10">
        <f t="shared" ca="1" si="4"/>
        <v>1.4224924934395638E-3</v>
      </c>
      <c r="T16" s="10">
        <f t="shared" ca="1" si="6"/>
        <v>1.4224924934395638E-3</v>
      </c>
      <c r="U16" s="9">
        <f t="array" aca="1" ref="U16" ca="1">MIN(IF('Normen en duidingsklassen'!$E$13:$E$20&gt;$M16,'Normen en duidingsklassen'!$E$13:$E$20))</f>
        <v>3.0000000000000001E-3</v>
      </c>
      <c r="V16" s="9">
        <f ca="1">IFERROR(MATCH($U16,'Normen en duidingsklassen'!$E$13:$E$20),1)</f>
        <v>6</v>
      </c>
      <c r="W16" s="9" t="str">
        <f ca="1">INDEX('Normen en duidingsklassen'!$D$13:$D$20,V16)</f>
        <v>-I</v>
      </c>
      <c r="X16" s="12" t="b">
        <f t="shared" si="7"/>
        <v>0</v>
      </c>
    </row>
    <row r="17" spans="2:24" x14ac:dyDescent="0.25">
      <c r="B17" s="8" t="s">
        <v>17</v>
      </c>
      <c r="C17" s="9">
        <f t="shared" si="10"/>
        <v>1600</v>
      </c>
      <c r="D17" s="9">
        <f t="shared" ref="D17:D22" si="15">C17+200</f>
        <v>1800</v>
      </c>
      <c r="E17" s="23" t="s">
        <v>28</v>
      </c>
      <c r="F17" s="8" t="s">
        <v>32</v>
      </c>
      <c r="G17" s="10">
        <f t="shared" ca="1" si="12"/>
        <v>6.0826865251867172E-4</v>
      </c>
      <c r="H17" s="26">
        <f t="shared" ca="1" si="13"/>
        <v>6.8745020191511509E-4</v>
      </c>
      <c r="I17" s="8" t="s">
        <v>29</v>
      </c>
      <c r="J17" s="10"/>
      <c r="K17" s="26"/>
      <c r="L17" s="31">
        <f t="shared" ca="1" si="0"/>
        <v>6.0826865251867172E-4</v>
      </c>
      <c r="M17" s="10">
        <f t="shared" ca="1" si="0"/>
        <v>6.8745020191511509E-4</v>
      </c>
      <c r="N17" s="11">
        <f t="shared" ca="1" si="1"/>
        <v>1.1301752919019821</v>
      </c>
      <c r="O17" s="32" t="str">
        <f t="shared" ca="1" si="2"/>
        <v>0</v>
      </c>
      <c r="Q17" s="31">
        <f t="shared" ca="1" si="3"/>
        <v>0.99931254979808493</v>
      </c>
      <c r="R17" s="10">
        <f t="shared" ca="1" si="5"/>
        <v>0.99931254979808493</v>
      </c>
      <c r="S17" s="10">
        <f t="shared" ca="1" si="4"/>
        <v>1.824805957556015E-3</v>
      </c>
      <c r="T17" s="10">
        <f t="shared" ca="1" si="6"/>
        <v>1.824805957556015E-3</v>
      </c>
      <c r="U17" s="9">
        <f t="array" aca="1" ref="U17" ca="1">MIN(IF('Normen en duidingsklassen'!$E$13:$E$20&gt;$M17,'Normen en duidingsklassen'!$E$13:$E$20))</f>
        <v>1E-3</v>
      </c>
      <c r="V17" s="9">
        <f ca="1">IFERROR(MATCH($U17,'Normen en duidingsklassen'!$E$13:$E$20),1)</f>
        <v>5</v>
      </c>
      <c r="W17" s="9" t="str">
        <f ca="1">INDEX('Normen en duidingsklassen'!$D$13:$D$20,V17)</f>
        <v>0</v>
      </c>
      <c r="X17" s="12" t="b">
        <f t="shared" si="7"/>
        <v>0</v>
      </c>
    </row>
    <row r="18" spans="2:24" x14ac:dyDescent="0.25">
      <c r="B18" s="8" t="s">
        <v>18</v>
      </c>
      <c r="C18" s="9">
        <f t="shared" si="10"/>
        <v>1800</v>
      </c>
      <c r="D18" s="9">
        <f t="shared" si="15"/>
        <v>2000</v>
      </c>
      <c r="E18" s="23" t="s">
        <v>28</v>
      </c>
      <c r="F18" s="8" t="s">
        <v>32</v>
      </c>
      <c r="G18" s="10">
        <f t="shared" ca="1" si="12"/>
        <v>1.0050334819552333E-3</v>
      </c>
      <c r="H18" s="26">
        <f ca="1">G18*(1+RAND()*4)</f>
        <v>2.7203060167885879E-3</v>
      </c>
      <c r="I18" s="8" t="s">
        <v>28</v>
      </c>
      <c r="J18" s="10">
        <f t="shared" ref="J18:J19" ca="1" si="16">G18-0.0002*RAND()</f>
        <v>9.6139241284548202E-4</v>
      </c>
      <c r="K18" s="26">
        <f t="shared" ref="K18:K19" ca="1" si="17">J18*MAX(1+RAND()*1.4)</f>
        <v>1.0623203356496969E-3</v>
      </c>
      <c r="L18" s="31">
        <f t="shared" ca="1" si="0"/>
        <v>9.6139241284548202E-4</v>
      </c>
      <c r="M18" s="10">
        <f t="shared" ca="1" si="0"/>
        <v>1.0623203356496969E-3</v>
      </c>
      <c r="N18" s="11">
        <f t="shared" ca="1" si="1"/>
        <v>1.1049809853455088</v>
      </c>
      <c r="O18" s="32" t="str">
        <f t="shared" ca="1" si="2"/>
        <v>-I</v>
      </c>
      <c r="Q18" s="31">
        <f t="shared" ca="1" si="3"/>
        <v>0.99893767966435032</v>
      </c>
      <c r="R18" s="10">
        <f t="shared" ca="1" si="5"/>
        <v>0.99893767966435032</v>
      </c>
      <c r="S18" s="10">
        <f t="shared" ca="1" si="4"/>
        <v>2.8841772385364462E-3</v>
      </c>
      <c r="T18" s="10">
        <f t="shared" ca="1" si="6"/>
        <v>2.8841772385364462E-3</v>
      </c>
      <c r="U18" s="9">
        <f t="array" aca="1" ref="U18" ca="1">MIN(IF('Normen en duidingsklassen'!$E$13:$E$20&gt;$M18,'Normen en duidingsklassen'!$E$13:$E$20))</f>
        <v>3.0000000000000001E-3</v>
      </c>
      <c r="V18" s="9">
        <f ca="1">IFERROR(MATCH($U18,'Normen en duidingsklassen'!$E$13:$E$20),1)</f>
        <v>6</v>
      </c>
      <c r="W18" s="9" t="str">
        <f ca="1">INDEX('Normen en duidingsklassen'!$D$13:$D$20,V18)</f>
        <v>-I</v>
      </c>
      <c r="X18" s="12" t="b">
        <f t="shared" ca="1" si="7"/>
        <v>0</v>
      </c>
    </row>
    <row r="19" spans="2:24" x14ac:dyDescent="0.25">
      <c r="B19" s="8" t="s">
        <v>19</v>
      </c>
      <c r="C19" s="9">
        <f t="shared" si="10"/>
        <v>2000</v>
      </c>
      <c r="D19" s="9">
        <f t="shared" si="15"/>
        <v>2200</v>
      </c>
      <c r="E19" s="23" t="s">
        <v>28</v>
      </c>
      <c r="F19" s="8" t="s">
        <v>32</v>
      </c>
      <c r="G19" s="10">
        <v>4.2300000000000002E-7</v>
      </c>
      <c r="H19" s="26">
        <f t="shared" ref="H19:H20" ca="1" si="18">G19*(1+RAND()*4)</f>
        <v>5.484776539779716E-7</v>
      </c>
      <c r="I19" s="8" t="s">
        <v>28</v>
      </c>
      <c r="J19" s="10">
        <f t="shared" ca="1" si="16"/>
        <v>-1.2620037117428711E-4</v>
      </c>
      <c r="K19" s="26">
        <f t="shared" ca="1" si="17"/>
        <v>-2.9784958971258599E-4</v>
      </c>
      <c r="L19" s="31">
        <f t="shared" ca="1" si="0"/>
        <v>-1.2620037117428711E-4</v>
      </c>
      <c r="M19" s="10">
        <f t="shared" ca="1" si="0"/>
        <v>-2.9784958971258599E-4</v>
      </c>
      <c r="N19" s="11">
        <f t="shared" ca="1" si="1"/>
        <v>2.3601324381308304</v>
      </c>
      <c r="O19" s="32" t="str">
        <f t="shared" ca="1" si="2"/>
        <v>+III</v>
      </c>
      <c r="Q19" s="31">
        <f t="shared" ca="1" si="3"/>
        <v>1.0002978495897126</v>
      </c>
      <c r="R19" s="10">
        <f t="shared" ca="1" si="5"/>
        <v>1.0002978495897126</v>
      </c>
      <c r="S19" s="10">
        <f t="shared" ca="1" si="4"/>
        <v>-3.7860111352286136E-4</v>
      </c>
      <c r="T19" s="10">
        <f t="shared" ca="1" si="6"/>
        <v>-3.7860111352286136E-4</v>
      </c>
      <c r="U19" s="9">
        <f t="array" aca="1" ref="U19" ca="1">MIN(IF('Normen en duidingsklassen'!$E$13:$E$20&gt;$M19,'Normen en duidingsklassen'!$E$13:$E$20))</f>
        <v>1.111111111111111E-5</v>
      </c>
      <c r="V19" s="9">
        <f ca="1">IFERROR(MATCH($U19,'Normen en duidingsklassen'!$E$13:$E$20),1)</f>
        <v>1</v>
      </c>
      <c r="W19" s="9" t="str">
        <f ca="1">INDEX('Normen en duidingsklassen'!$D$13:$D$20,V19)</f>
        <v>+III</v>
      </c>
      <c r="X19" s="12" t="b">
        <f t="shared" ca="1" si="7"/>
        <v>0</v>
      </c>
    </row>
    <row r="20" spans="2:24" x14ac:dyDescent="0.25">
      <c r="B20" s="8" t="s">
        <v>24</v>
      </c>
      <c r="C20" s="9">
        <f>D19</f>
        <v>2200</v>
      </c>
      <c r="D20" s="9">
        <f t="shared" si="15"/>
        <v>2400</v>
      </c>
      <c r="E20" s="23" t="s">
        <v>28</v>
      </c>
      <c r="F20" s="8" t="s">
        <v>32</v>
      </c>
      <c r="G20" s="10">
        <v>1.4300000000000001E-6</v>
      </c>
      <c r="H20" s="26">
        <f t="shared" ca="1" si="18"/>
        <v>5.60199964347168E-6</v>
      </c>
      <c r="I20" s="8" t="s">
        <v>28</v>
      </c>
      <c r="J20" s="10">
        <f t="shared" ref="J20" ca="1" si="19">G20-0.0002*RAND()</f>
        <v>-9.2657518241836346E-7</v>
      </c>
      <c r="K20" s="26">
        <f t="shared" ref="K20:K21" ca="1" si="20">J20*MAX(1+RAND()*1.4)</f>
        <v>-1.2350780884792338E-6</v>
      </c>
      <c r="L20" s="31">
        <f t="shared" ca="1" si="0"/>
        <v>-9.2657518241836346E-7</v>
      </c>
      <c r="M20" s="10">
        <f t="shared" ca="1" si="0"/>
        <v>-1.2350780884792338E-6</v>
      </c>
      <c r="N20" s="11">
        <f t="shared" ca="1" si="1"/>
        <v>1.3329496752283791</v>
      </c>
      <c r="O20" s="32" t="str">
        <f t="shared" ca="1" si="2"/>
        <v>+III</v>
      </c>
      <c r="Q20" s="31">
        <f t="shared" ca="1" si="3"/>
        <v>1.0000012350780885</v>
      </c>
      <c r="R20" s="10">
        <f t="shared" ca="1" si="5"/>
        <v>1.0000012350780885</v>
      </c>
      <c r="S20" s="10">
        <f t="shared" ca="1" si="4"/>
        <v>-2.7797255472550902E-6</v>
      </c>
      <c r="T20" s="10">
        <f t="shared" ca="1" si="6"/>
        <v>-2.7797255472550902E-6</v>
      </c>
      <c r="U20" s="9">
        <f t="array" aca="1" ref="U20" ca="1">MIN(IF('Normen en duidingsklassen'!$E$13:$E$20&gt;$M20,'Normen en duidingsklassen'!$E$13:$E$20))</f>
        <v>1.111111111111111E-5</v>
      </c>
      <c r="V20" s="9">
        <f ca="1">IFERROR(MATCH($U20,'Normen en duidingsklassen'!$E$13:$E$20),1)</f>
        <v>1</v>
      </c>
      <c r="W20" s="9" t="str">
        <f ca="1">INDEX('Normen en duidingsklassen'!$D$13:$D$20,V20)</f>
        <v>+III</v>
      </c>
      <c r="X20" s="12" t="b">
        <f t="shared" ca="1" si="7"/>
        <v>0</v>
      </c>
    </row>
    <row r="21" spans="2:24" x14ac:dyDescent="0.25">
      <c r="B21" s="8" t="s">
        <v>25</v>
      </c>
      <c r="C21" s="9">
        <f t="shared" si="10"/>
        <v>2400</v>
      </c>
      <c r="D21" s="9">
        <f t="shared" si="15"/>
        <v>2600</v>
      </c>
      <c r="E21" s="23" t="s">
        <v>28</v>
      </c>
      <c r="F21" s="8" t="s">
        <v>33</v>
      </c>
      <c r="G21" s="10"/>
      <c r="H21" s="26"/>
      <c r="I21" s="8" t="s">
        <v>28</v>
      </c>
      <c r="J21" s="10">
        <f>1/132406</f>
        <v>7.5525278310650572E-6</v>
      </c>
      <c r="K21" s="26">
        <f t="shared" ca="1" si="20"/>
        <v>1.341343510263718E-5</v>
      </c>
      <c r="L21" s="31">
        <f t="shared" si="0"/>
        <v>7.5525278310650572E-6</v>
      </c>
      <c r="M21" s="10">
        <f t="shared" ca="1" si="0"/>
        <v>1.341343510263718E-5</v>
      </c>
      <c r="N21" s="11">
        <f t="shared" ca="1" si="1"/>
        <v>1.7760192881997785</v>
      </c>
      <c r="O21" s="32" t="str">
        <f t="shared" ca="1" si="2"/>
        <v>+II</v>
      </c>
      <c r="Q21" s="31">
        <f t="shared" ca="1" si="3"/>
        <v>0.99998658656489736</v>
      </c>
      <c r="R21" s="10">
        <f t="shared" ca="1" si="5"/>
        <v>0.99998658656489736</v>
      </c>
      <c r="S21" s="10">
        <f t="shared" si="4"/>
        <v>2.2657583493195171E-5</v>
      </c>
      <c r="T21" s="10">
        <f t="shared" si="6"/>
        <v>2.2657583493195171E-5</v>
      </c>
      <c r="U21" s="9">
        <f t="array" aca="1" ref="U21" ca="1">MIN(IF('Normen en duidingsklassen'!$E$13:$E$20&gt;$M21,'Normen en duidingsklassen'!$E$13:$E$20))</f>
        <v>3.3333333333333335E-5</v>
      </c>
      <c r="V21" s="9">
        <f ca="1">IFERROR(MATCH($U21,'Normen en duidingsklassen'!$E$13:$E$20),1)</f>
        <v>2</v>
      </c>
      <c r="W21" s="9" t="str">
        <f ca="1">INDEX('Normen en duidingsklassen'!$D$13:$D$20,V21)</f>
        <v>+II</v>
      </c>
      <c r="X21" s="12" t="b">
        <f t="shared" si="7"/>
        <v>0</v>
      </c>
    </row>
    <row r="22" spans="2:24" x14ac:dyDescent="0.25">
      <c r="B22" s="8" t="s">
        <v>26</v>
      </c>
      <c r="C22" s="9">
        <f t="shared" si="10"/>
        <v>2600</v>
      </c>
      <c r="D22" s="9">
        <f t="shared" si="15"/>
        <v>2800</v>
      </c>
      <c r="E22" s="23" t="s">
        <v>28</v>
      </c>
      <c r="F22" s="8" t="s">
        <v>33</v>
      </c>
      <c r="G22" s="10"/>
      <c r="H22" s="26"/>
      <c r="I22" s="8" t="s">
        <v>29</v>
      </c>
      <c r="J22" s="10"/>
      <c r="K22" s="26"/>
      <c r="L22" s="31" t="str">
        <f>IF($E22="Nee",0,IF(ISNUMBER(J22),J22,IF(ISNUMBER(G22),G22,"-")))</f>
        <v>-</v>
      </c>
      <c r="M22" s="10" t="str">
        <f t="shared" ref="M22:M23" si="21">IF($E22="Nee",0,IF(ISNUMBER(K22),K22,IF(ISNUMBER(H22),H22,"-")))</f>
        <v>-</v>
      </c>
      <c r="N22" s="11" t="str">
        <f>IF(ISNUMBER(L22),IF(M22=0,1,M22/L22),"-")</f>
        <v>-</v>
      </c>
      <c r="O22" s="32" t="str">
        <f>IF(ISNUMBER($M22),W22,IF($X22,"D","ND"))</f>
        <v>ND</v>
      </c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0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ht="15.75" thickBot="1" x14ac:dyDescent="0.3">
      <c r="B23" s="13" t="s">
        <v>27</v>
      </c>
      <c r="C23" s="14">
        <f t="shared" si="10"/>
        <v>2800</v>
      </c>
      <c r="D23" s="14">
        <v>3800</v>
      </c>
      <c r="E23" s="24" t="s">
        <v>28</v>
      </c>
      <c r="F23" s="13" t="s">
        <v>33</v>
      </c>
      <c r="G23" s="15"/>
      <c r="H23" s="27"/>
      <c r="I23" s="13" t="s">
        <v>29</v>
      </c>
      <c r="J23" s="15"/>
      <c r="K23" s="27"/>
      <c r="L23" s="33" t="str">
        <f t="shared" ref="L23" si="22">IF($E23="Nee",0,IF(ISNUMBER(J23),J23,IF(ISNUMBER(G23),G23,"-")))</f>
        <v>-</v>
      </c>
      <c r="M23" s="15" t="str">
        <f t="shared" si="21"/>
        <v>-</v>
      </c>
      <c r="N23" s="16" t="str">
        <f t="shared" ref="N23" si="23">IF(ISNUMBER(L23),IF(M23=0,1,M23/L23),"-")</f>
        <v>-</v>
      </c>
      <c r="O23" s="34" t="str">
        <f>IF(ISNUMBER($M23),W23,IF($X23,"D","ND"))</f>
        <v>ND</v>
      </c>
      <c r="Q23" s="33">
        <f>IF(AND(F23="Geen faalkans",I23="Nee"),1,1-M23)</f>
        <v>1</v>
      </c>
      <c r="R23" s="15">
        <f t="shared" si="5"/>
        <v>1</v>
      </c>
      <c r="S23" s="15">
        <f>IF(AND(F23="Geen faalkans",I23="Nee"),0,L23*$C$3)</f>
        <v>0</v>
      </c>
      <c r="T23" s="15">
        <f t="shared" si="6"/>
        <v>0</v>
      </c>
      <c r="U23" s="14">
        <f t="array" ref="U23">MIN(IF('Normen en duidingsklassen'!$E$13:$E$20&gt;$M23,'Normen en duidingsklassen'!$E$13:$E$20))</f>
        <v>0</v>
      </c>
      <c r="V23" s="14">
        <f>IFERROR(MATCH($U23,'Normen en duidingsklassen'!$E$13:$E$20),1)</f>
        <v>1</v>
      </c>
      <c r="W23" s="14" t="str">
        <f>INDEX('Normen en duidingsklassen'!$D$13:$D$20,V23)</f>
        <v>+III</v>
      </c>
      <c r="X23" s="17" t="b">
        <f t="shared" si="7"/>
        <v>0</v>
      </c>
    </row>
    <row r="24" spans="2:24" x14ac:dyDescent="0.25">
      <c r="Q24" s="1"/>
    </row>
    <row r="25" spans="2:24" x14ac:dyDescent="0.25">
      <c r="Q25" s="1"/>
    </row>
  </sheetData>
  <conditionalFormatting sqref="G10:H23">
    <cfRule type="expression" dxfId="81" priority="11">
      <formula>IF($E10="Nee",TRUE,FALSE)</formula>
    </cfRule>
  </conditionalFormatting>
  <conditionalFormatting sqref="J10:K23">
    <cfRule type="expression" dxfId="80" priority="10">
      <formula>IF($I10="Nee",TRUE,FALSE)</formula>
    </cfRule>
  </conditionalFormatting>
  <conditionalFormatting sqref="O10:O23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4" operator="endsWith" id="{83C35FBF-C70C-49BE-9DBF-82B4B890A623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5" operator="endsWith" id="{7EC45D0A-4531-483F-9699-AA4F78050A27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6" operator="endsWith" id="{694D6D3E-E9A0-4FCE-88ED-306E49CBD412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7" operator="endsWith" id="{C683184A-17E1-4604-89D7-022EFDF273FA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76E64AE8-9552-4FFA-9EDB-C12E96D75783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9" operator="containsText" id="{CA7E2582-819B-4F86-A917-C5C9015615C2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AC2214-248A-4BF8-A068-11D5B905D68D}">
          <x14:formula1>
            <xm:f>Informatiepagina!$B$15:$B$17</xm:f>
          </x14:formula1>
          <xm:sqref>E24:E39</xm:sqref>
        </x14:dataValidation>
        <x14:dataValidation type="list" allowBlank="1" showInputMessage="1" showErrorMessage="1" xr:uid="{F1FCFDE8-D99C-48FD-ABF7-A7F002821624}">
          <x14:formula1>
            <xm:f>Informatiepagina!$B$20:$B$21</xm:f>
          </x14:formula1>
          <xm:sqref>F10:F23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25"/>
  <sheetViews>
    <sheetView workbookViewId="0">
      <selection activeCell="B5" sqref="A1:XFD104857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IFERROR(MIN(1-PRODUCT(M10:M23),MAX(O10:O23)),"GR")</f>
        <v>8.2112895527931551E-3</v>
      </c>
    </row>
    <row r="5" spans="2:21" x14ac:dyDescent="0.25">
      <c r="B5" s="40" t="s">
        <v>49</v>
      </c>
      <c r="C5" s="26">
        <f>MIN(1-PRODUCT(N10:N23),MAX(P10:P23))</f>
        <v>8.2112895527931551E-3</v>
      </c>
    </row>
    <row r="6" spans="2:21" ht="15.75" thickBot="1" x14ac:dyDescent="0.3">
      <c r="B6" s="41" t="s">
        <v>56</v>
      </c>
      <c r="C6" s="17" t="str">
        <f>IF(1-PRODUCT(N10:N23)&gt;MAX(P10:P23),"Ja","Nee")</f>
        <v>Nee</v>
      </c>
    </row>
    <row r="8" spans="2:21" ht="15.75" thickBot="1" x14ac:dyDescent="0.3">
      <c r="M8" t="s">
        <v>75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94</v>
      </c>
      <c r="P9" s="37" t="s">
        <v>95</v>
      </c>
      <c r="Q9" s="38" t="s">
        <v>72</v>
      </c>
      <c r="R9" s="38" t="s">
        <v>73</v>
      </c>
      <c r="S9" s="4"/>
      <c r="T9" s="39" t="s">
        <v>74</v>
      </c>
      <c r="U9" s="35"/>
    </row>
    <row r="10" spans="2:21" x14ac:dyDescent="0.25">
      <c r="B10" s="3" t="s">
        <v>8</v>
      </c>
      <c r="C10" s="4">
        <v>0</v>
      </c>
      <c r="D10" s="4">
        <v>80</v>
      </c>
      <c r="E10" s="22" t="s">
        <v>28</v>
      </c>
      <c r="F10" s="3" t="s">
        <v>32</v>
      </c>
      <c r="G10" s="25">
        <v>2.4599999999999998E-10</v>
      </c>
      <c r="H10" s="3" t="s">
        <v>28</v>
      </c>
      <c r="I10" s="25">
        <v>1.2299999999999999E-10</v>
      </c>
      <c r="J10" s="5">
        <f>IF($E10="Nee",0,IF(ISNUMBER(I10),I10,IF(ISNUMBER(G10),G10,"-")))</f>
        <v>1.2299999999999999E-10</v>
      </c>
      <c r="K10" s="30" t="str">
        <f t="shared" ref="K10:K23" si="0">IF(ISNUMBER($J10),S10,IF($T10,"D","ND"))</f>
        <v>+III</v>
      </c>
      <c r="M10" s="31">
        <f t="shared" ref="M10:M23" si="1">IF(AND(F10="Geen faalkans",H10="Nee"),1,1-J10)</f>
        <v>0.99999999987699995</v>
      </c>
      <c r="N10" s="10">
        <f t="shared" ref="N10:N23" si="2">IF(J10="-",1,M10)</f>
        <v>0.99999999987699995</v>
      </c>
      <c r="O10" s="10">
        <f t="shared" ref="O10:O22" si="3">IF(AND(F10="Geen faalkans",H10="Nee"),0,J10*$C$3)</f>
        <v>3.6899999999999997E-10</v>
      </c>
      <c r="P10" s="10">
        <f>IF(J10="-",0,O10)</f>
        <v>3.6899999999999997E-10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f>D10</f>
        <v>80</v>
      </c>
      <c r="D11" s="9">
        <v>110</v>
      </c>
      <c r="E11" s="23" t="s">
        <v>29</v>
      </c>
      <c r="F11" s="8" t="s">
        <v>33</v>
      </c>
      <c r="G11" s="26"/>
      <c r="H11" s="8" t="s">
        <v>29</v>
      </c>
      <c r="I11" s="26"/>
      <c r="J11" s="10">
        <f t="shared" ref="J11:J23" si="4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3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3" si="6">IF($E11="Ja",IF($H11="Ja",NOT(ISNUMBER($I11)),FALSE),FALSE)</f>
        <v>0</v>
      </c>
    </row>
    <row r="12" spans="2:21" x14ac:dyDescent="0.25">
      <c r="B12" s="8" t="s">
        <v>12</v>
      </c>
      <c r="C12" s="9">
        <f>D11</f>
        <v>110</v>
      </c>
      <c r="D12" s="9">
        <v>700</v>
      </c>
      <c r="E12" s="23" t="s">
        <v>28</v>
      </c>
      <c r="F12" s="8" t="s">
        <v>34</v>
      </c>
      <c r="G12" s="26">
        <v>1.8520036384650702E-3</v>
      </c>
      <c r="H12" s="8" t="s">
        <v>29</v>
      </c>
      <c r="I12" s="26"/>
      <c r="J12" s="10">
        <f t="shared" si="4"/>
        <v>1.8520036384650702E-3</v>
      </c>
      <c r="K12" s="32" t="str">
        <f t="shared" si="0"/>
        <v>-I</v>
      </c>
      <c r="M12" s="31">
        <f t="shared" si="1"/>
        <v>0.99814799636153495</v>
      </c>
      <c r="N12" s="10">
        <f t="shared" si="2"/>
        <v>0.99814799636153495</v>
      </c>
      <c r="O12" s="10">
        <f t="shared" si="3"/>
        <v>5.5560109153952103E-3</v>
      </c>
      <c r="P12" s="10">
        <f t="shared" si="5"/>
        <v>5.5560109153952103E-3</v>
      </c>
      <c r="Q12" s="9">
        <f t="array" ref="Q12">MIN(IF('Normen en duidingsklassen'!$E$13:$E$20&gt;$J12,'Normen en duidingsklassen'!$E$13:$E$20))</f>
        <v>3.0000000000000001E-3</v>
      </c>
      <c r="R12" s="9">
        <f>IFERROR(MATCH($Q12,'Normen en duidingsklassen'!$E$13:$E$20),1)</f>
        <v>6</v>
      </c>
      <c r="S12" s="9" t="str">
        <f>INDEX('Normen en duidingsklassen'!$D$13:$D$20,R12)</f>
        <v>-I</v>
      </c>
      <c r="T12" s="12" t="b">
        <f t="shared" si="6"/>
        <v>0</v>
      </c>
    </row>
    <row r="13" spans="2:21" x14ac:dyDescent="0.25">
      <c r="B13" s="8" t="s">
        <v>13</v>
      </c>
      <c r="C13" s="9">
        <f t="shared" ref="C13:C19" si="7">D12</f>
        <v>700</v>
      </c>
      <c r="D13" s="9">
        <v>910</v>
      </c>
      <c r="E13" s="23" t="s">
        <v>28</v>
      </c>
      <c r="F13" s="8" t="s">
        <v>34</v>
      </c>
      <c r="G13" s="26"/>
      <c r="H13" s="8" t="s">
        <v>28</v>
      </c>
      <c r="I13" s="26">
        <v>3.6531999999999999E-7</v>
      </c>
      <c r="J13" s="10">
        <f t="shared" si="4"/>
        <v>3.6531999999999999E-7</v>
      </c>
      <c r="K13" s="32" t="str">
        <f t="shared" si="0"/>
        <v>+III</v>
      </c>
      <c r="M13" s="31">
        <f t="shared" si="1"/>
        <v>0.99999963467999997</v>
      </c>
      <c r="N13" s="10">
        <f t="shared" si="2"/>
        <v>0.99999963467999997</v>
      </c>
      <c r="O13" s="10">
        <f t="shared" si="3"/>
        <v>1.0959599999999999E-6</v>
      </c>
      <c r="P13" s="10">
        <f t="shared" si="5"/>
        <v>1.0959599999999999E-6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</v>
      </c>
      <c r="C14" s="9">
        <f t="shared" si="7"/>
        <v>910</v>
      </c>
      <c r="D14" s="9">
        <v>1200</v>
      </c>
      <c r="E14" s="23" t="s">
        <v>28</v>
      </c>
      <c r="F14" s="8" t="s">
        <v>34</v>
      </c>
      <c r="G14" s="26">
        <v>2.7733905376746957E-3</v>
      </c>
      <c r="H14" s="8" t="s">
        <v>28</v>
      </c>
      <c r="I14" s="26">
        <v>3.7108876351156153E-4</v>
      </c>
      <c r="J14" s="10">
        <f t="shared" si="4"/>
        <v>3.7108876351156153E-4</v>
      </c>
      <c r="K14" s="32" t="str">
        <f t="shared" si="0"/>
        <v>0</v>
      </c>
      <c r="M14" s="31">
        <f t="shared" si="1"/>
        <v>0.99962891123648845</v>
      </c>
      <c r="N14" s="10">
        <f t="shared" si="2"/>
        <v>0.99962891123648845</v>
      </c>
      <c r="O14" s="10">
        <f t="shared" si="3"/>
        <v>1.1132662905346845E-3</v>
      </c>
      <c r="P14" s="10">
        <f t="shared" si="5"/>
        <v>1.1132662905346845E-3</v>
      </c>
      <c r="Q14" s="9">
        <f t="array" ref="Q14">MIN(IF('Normen en duidingsklassen'!$E$13:$E$20&gt;$J14,'Normen en duidingsklassen'!$E$13:$E$20))</f>
        <v>1E-3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15</v>
      </c>
      <c r="C15" s="9">
        <f t="shared" si="7"/>
        <v>1200</v>
      </c>
      <c r="D15" s="9">
        <v>1400</v>
      </c>
      <c r="E15" s="23" t="s">
        <v>28</v>
      </c>
      <c r="F15" s="8" t="s">
        <v>34</v>
      </c>
      <c r="G15" s="26">
        <v>8.3639662262296089E-4</v>
      </c>
      <c r="H15" s="8" t="s">
        <v>28</v>
      </c>
      <c r="I15" s="26">
        <v>1.550356593537512E-3</v>
      </c>
      <c r="J15" s="10">
        <f t="shared" si="4"/>
        <v>1.550356593537512E-3</v>
      </c>
      <c r="K15" s="32" t="str">
        <f t="shared" si="0"/>
        <v>-I</v>
      </c>
      <c r="M15" s="31">
        <f t="shared" si="1"/>
        <v>0.99844964340646247</v>
      </c>
      <c r="N15" s="10">
        <f t="shared" si="2"/>
        <v>0.99844964340646247</v>
      </c>
      <c r="O15" s="10">
        <f t="shared" si="3"/>
        <v>4.6510697806125363E-3</v>
      </c>
      <c r="P15" s="10">
        <f t="shared" si="5"/>
        <v>4.6510697806125363E-3</v>
      </c>
      <c r="Q15" s="9">
        <f t="array" ref="Q15">MIN(IF('Normen en duidingsklassen'!$E$13:$E$20&gt;$J15,'Normen en duidingsklassen'!$E$13:$E$20))</f>
        <v>3.0000000000000001E-3</v>
      </c>
      <c r="R15" s="9">
        <f>IFERROR(MATCH($Q15,'Normen en duidingsklassen'!$E$13:$E$20),1)</f>
        <v>6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16</v>
      </c>
      <c r="C16" s="9">
        <f t="shared" si="7"/>
        <v>1400</v>
      </c>
      <c r="D16" s="9">
        <f>C16+200</f>
        <v>1600</v>
      </c>
      <c r="E16" s="23" t="s">
        <v>28</v>
      </c>
      <c r="F16" s="8" t="s">
        <v>34</v>
      </c>
      <c r="G16" s="26">
        <v>1.4386538700346591E-3</v>
      </c>
      <c r="H16" s="8" t="s">
        <v>29</v>
      </c>
      <c r="I16" s="26"/>
      <c r="J16" s="10">
        <f t="shared" si="4"/>
        <v>1.4386538700346591E-3</v>
      </c>
      <c r="K16" s="32" t="str">
        <f t="shared" si="0"/>
        <v>-I</v>
      </c>
      <c r="M16" s="31">
        <f t="shared" si="1"/>
        <v>0.99856134612996539</v>
      </c>
      <c r="N16" s="10">
        <f t="shared" si="2"/>
        <v>0.99856134612996539</v>
      </c>
      <c r="O16" s="10">
        <f t="shared" si="3"/>
        <v>4.3159616101039779E-3</v>
      </c>
      <c r="P16" s="10">
        <f t="shared" si="5"/>
        <v>4.3159616101039779E-3</v>
      </c>
      <c r="Q16" s="9">
        <f t="array" ref="Q16">MIN(IF('Normen en duidingsklassen'!$E$13:$E$20&gt;$J16,'Normen en duidingsklassen'!$E$13:$E$20))</f>
        <v>3.0000000000000001E-3</v>
      </c>
      <c r="R16" s="9">
        <f>IFERROR(MATCH($Q16,'Normen en duidingsklassen'!$E$13:$E$20),1)</f>
        <v>6</v>
      </c>
      <c r="S16" s="9" t="str">
        <f>INDEX('Normen en duidingsklassen'!$D$13:$D$20,R16)</f>
        <v>-I</v>
      </c>
      <c r="T16" s="12" t="b">
        <f t="shared" si="6"/>
        <v>0</v>
      </c>
    </row>
    <row r="17" spans="2:20" x14ac:dyDescent="0.25">
      <c r="B17" s="8" t="s">
        <v>17</v>
      </c>
      <c r="C17" s="9">
        <f t="shared" si="7"/>
        <v>1600</v>
      </c>
      <c r="D17" s="9">
        <f t="shared" ref="D17:D22" si="8">C17+200</f>
        <v>1800</v>
      </c>
      <c r="E17" s="23" t="s">
        <v>28</v>
      </c>
      <c r="F17" s="8" t="s">
        <v>34</v>
      </c>
      <c r="G17" s="26">
        <v>3.3117708088023045E-3</v>
      </c>
      <c r="H17" s="8" t="s">
        <v>29</v>
      </c>
      <c r="I17" s="26"/>
      <c r="J17" s="10">
        <f t="shared" si="4"/>
        <v>3.3117708088023045E-3</v>
      </c>
      <c r="K17" s="32" t="str">
        <f t="shared" si="0"/>
        <v>-II</v>
      </c>
      <c r="M17" s="31">
        <f t="shared" si="1"/>
        <v>0.99668822919119771</v>
      </c>
      <c r="N17" s="10">
        <f t="shared" si="2"/>
        <v>0.99668822919119771</v>
      </c>
      <c r="O17" s="10">
        <f t="shared" si="3"/>
        <v>9.9353124264069132E-3</v>
      </c>
      <c r="P17" s="10">
        <f t="shared" si="5"/>
        <v>9.9353124264069132E-3</v>
      </c>
      <c r="Q17" s="9">
        <f t="array" ref="Q17">MIN(IF('Normen en duidingsklassen'!$E$13:$E$20&gt;$J17,'Normen en duidingsklassen'!$E$13:$E$20))</f>
        <v>0.01</v>
      </c>
      <c r="R17" s="9">
        <f>IFERROR(MATCH($Q17,'Normen en duidingsklassen'!$E$13:$E$20),1)</f>
        <v>7</v>
      </c>
      <c r="S17" s="9" t="str">
        <f>INDEX('Normen en duidingsklassen'!$D$13:$D$20,R17)</f>
        <v>-II</v>
      </c>
      <c r="T17" s="12" t="b">
        <f t="shared" si="6"/>
        <v>0</v>
      </c>
    </row>
    <row r="18" spans="2:20" x14ac:dyDescent="0.25">
      <c r="B18" s="8" t="s">
        <v>18</v>
      </c>
      <c r="C18" s="9">
        <f t="shared" si="7"/>
        <v>1800</v>
      </c>
      <c r="D18" s="9">
        <f t="shared" si="8"/>
        <v>2000</v>
      </c>
      <c r="E18" s="23" t="s">
        <v>28</v>
      </c>
      <c r="F18" s="8" t="s">
        <v>34</v>
      </c>
      <c r="G18" s="26">
        <v>8.331115619787966E-4</v>
      </c>
      <c r="H18" s="8" t="s">
        <v>28</v>
      </c>
      <c r="I18" s="26">
        <v>-1.9495928151010529E-5</v>
      </c>
      <c r="J18" s="10">
        <f t="shared" si="4"/>
        <v>-1.9495928151010529E-5</v>
      </c>
      <c r="K18" s="32" t="str">
        <f t="shared" si="0"/>
        <v>+III</v>
      </c>
      <c r="M18" s="31">
        <f t="shared" si="1"/>
        <v>1.000019495928151</v>
      </c>
      <c r="N18" s="10">
        <f t="shared" si="2"/>
        <v>1.000019495928151</v>
      </c>
      <c r="O18" s="10">
        <f t="shared" si="3"/>
        <v>-5.8487784453031583E-5</v>
      </c>
      <c r="P18" s="10">
        <f t="shared" si="5"/>
        <v>-5.8487784453031583E-5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19</v>
      </c>
      <c r="C19" s="9">
        <f t="shared" si="7"/>
        <v>2000</v>
      </c>
      <c r="D19" s="9">
        <f t="shared" si="8"/>
        <v>2200</v>
      </c>
      <c r="E19" s="23" t="s">
        <v>28</v>
      </c>
      <c r="F19" s="8" t="s">
        <v>32</v>
      </c>
      <c r="G19" s="26">
        <v>8.4047670842823862E-7</v>
      </c>
      <c r="H19" s="8" t="s">
        <v>28</v>
      </c>
      <c r="I19" s="26">
        <v>-1.3617628180104813E-4</v>
      </c>
      <c r="J19" s="10">
        <f t="shared" si="4"/>
        <v>-1.3617628180104813E-4</v>
      </c>
      <c r="K19" s="32" t="str">
        <f t="shared" si="0"/>
        <v>+III</v>
      </c>
      <c r="M19" s="31">
        <f t="shared" si="1"/>
        <v>1.0001361762818011</v>
      </c>
      <c r="N19" s="10">
        <f t="shared" si="2"/>
        <v>1.0001361762818011</v>
      </c>
      <c r="O19" s="10">
        <f t="shared" si="3"/>
        <v>-4.0852884540314442E-4</v>
      </c>
      <c r="P19" s="10">
        <f t="shared" si="5"/>
        <v>-4.0852884540314442E-4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24</v>
      </c>
      <c r="C20" s="9">
        <f>D19</f>
        <v>2200</v>
      </c>
      <c r="D20" s="9">
        <f t="shared" si="8"/>
        <v>2400</v>
      </c>
      <c r="E20" s="23" t="s">
        <v>28</v>
      </c>
      <c r="F20" s="8" t="s">
        <v>32</v>
      </c>
      <c r="G20" s="26">
        <v>1.5485945197406335E-6</v>
      </c>
      <c r="H20" s="8" t="s">
        <v>28</v>
      </c>
      <c r="I20" s="26">
        <v>-1.4337145472226662E-4</v>
      </c>
      <c r="J20" s="10">
        <f t="shared" si="4"/>
        <v>-1.4337145472226662E-4</v>
      </c>
      <c r="K20" s="32" t="str">
        <f t="shared" si="0"/>
        <v>+III</v>
      </c>
      <c r="M20" s="31">
        <f t="shared" si="1"/>
        <v>1.0001433714547223</v>
      </c>
      <c r="N20" s="10">
        <f t="shared" si="2"/>
        <v>1.0001433714547223</v>
      </c>
      <c r="O20" s="10">
        <f t="shared" si="3"/>
        <v>-4.3011436416679985E-4</v>
      </c>
      <c r="P20" s="10">
        <f t="shared" si="5"/>
        <v>-4.3011436416679985E-4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25</v>
      </c>
      <c r="C21" s="9">
        <f t="shared" ref="C21:C23" si="9">D20</f>
        <v>2400</v>
      </c>
      <c r="D21" s="9">
        <f t="shared" si="8"/>
        <v>2600</v>
      </c>
      <c r="E21" s="23" t="s">
        <v>28</v>
      </c>
      <c r="F21" s="8" t="s">
        <v>33</v>
      </c>
      <c r="G21" s="26"/>
      <c r="H21" s="8" t="s">
        <v>28</v>
      </c>
      <c r="I21" s="26">
        <v>1.0451736368684874E-5</v>
      </c>
      <c r="J21" s="10">
        <f t="shared" si="4"/>
        <v>1.0451736368684874E-5</v>
      </c>
      <c r="K21" s="32" t="str">
        <f t="shared" si="0"/>
        <v>+III</v>
      </c>
      <c r="M21" s="31">
        <f t="shared" si="1"/>
        <v>0.99998954826363129</v>
      </c>
      <c r="N21" s="10">
        <f t="shared" si="2"/>
        <v>0.99998954826363129</v>
      </c>
      <c r="O21" s="10">
        <f t="shared" si="3"/>
        <v>3.1355209106054622E-5</v>
      </c>
      <c r="P21" s="10">
        <f t="shared" si="5"/>
        <v>3.1355209106054622E-5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26</v>
      </c>
      <c r="C22" s="9">
        <f t="shared" si="9"/>
        <v>2600</v>
      </c>
      <c r="D22" s="9">
        <f t="shared" si="8"/>
        <v>2800</v>
      </c>
      <c r="E22" s="23" t="s">
        <v>28</v>
      </c>
      <c r="F22" s="8" t="s">
        <v>33</v>
      </c>
      <c r="G22" s="26"/>
      <c r="H22" s="8" t="s">
        <v>29</v>
      </c>
      <c r="I22" s="26"/>
      <c r="J22" s="10" t="str">
        <f t="shared" si="4"/>
        <v>-</v>
      </c>
      <c r="K22" s="32" t="str">
        <f t="shared" si="0"/>
        <v>ND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0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thickBot="1" x14ac:dyDescent="0.3">
      <c r="B23" s="13" t="s">
        <v>27</v>
      </c>
      <c r="C23" s="14">
        <f t="shared" si="9"/>
        <v>2800</v>
      </c>
      <c r="D23" s="14">
        <v>3800</v>
      </c>
      <c r="E23" s="24" t="s">
        <v>28</v>
      </c>
      <c r="F23" s="13" t="s">
        <v>33</v>
      </c>
      <c r="G23" s="27"/>
      <c r="H23" s="13" t="s">
        <v>29</v>
      </c>
      <c r="I23" s="27"/>
      <c r="J23" s="15" t="str">
        <f t="shared" si="4"/>
        <v>-</v>
      </c>
      <c r="K23" s="34" t="str">
        <f t="shared" si="0"/>
        <v>ND</v>
      </c>
      <c r="M23" s="33">
        <f t="shared" si="1"/>
        <v>1</v>
      </c>
      <c r="N23" s="15">
        <f t="shared" si="2"/>
        <v>1</v>
      </c>
      <c r="O23" s="15">
        <f>IF(AND(F23="Geen faalkans",H23="Nee"),0,J23*$C$3)</f>
        <v>0</v>
      </c>
      <c r="P23" s="15">
        <f t="shared" si="5"/>
        <v>0</v>
      </c>
      <c r="Q23" s="14">
        <f t="array" ref="Q23">MIN(IF('Normen en duidingsklassen'!$E$13:$E$20&gt;$J23,'Normen en duidingsklassen'!$E$13:$E$20))</f>
        <v>0</v>
      </c>
      <c r="R23" s="14">
        <f>IFERROR(MATCH($Q23,'Normen en duidingsklassen'!$E$13:$E$20),1)</f>
        <v>1</v>
      </c>
      <c r="S23" s="14" t="str">
        <f>INDEX('Normen en duidingsklassen'!$D$13:$D$20,R23)</f>
        <v>+III</v>
      </c>
      <c r="T23" s="17" t="b">
        <f t="shared" si="6"/>
        <v>0</v>
      </c>
    </row>
    <row r="24" spans="2:20" x14ac:dyDescent="0.25">
      <c r="M24" s="1"/>
    </row>
    <row r="25" spans="2:20" x14ac:dyDescent="0.25">
      <c r="M25" s="1"/>
    </row>
  </sheetData>
  <conditionalFormatting sqref="G10:G23">
    <cfRule type="expression" dxfId="70" priority="11">
      <formula>IF($E10="Nee",TRUE,FALSE)</formula>
    </cfRule>
  </conditionalFormatting>
  <conditionalFormatting sqref="I10:I23">
    <cfRule type="expression" dxfId="69" priority="10">
      <formula>IF($H10="Nee",TRUE,FALSE)</formula>
    </cfRule>
  </conditionalFormatting>
  <conditionalFormatting sqref="K10:K23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E24:E39 F10:F23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O10" sqref="O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78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IFERROR(MIN(1-PRODUCT(M10:M10),MAX(O10:O10)),"GR")</f>
        <v>0</v>
      </c>
    </row>
    <row r="5" spans="2:21" x14ac:dyDescent="0.25">
      <c r="B5" s="40" t="s">
        <v>49</v>
      </c>
      <c r="C5" s="26">
        <f>MIN(1-PRODUCT(N10:N10),MAX(P10:P10))</f>
        <v>0</v>
      </c>
    </row>
    <row r="6" spans="2:21" ht="15.75" thickBot="1" x14ac:dyDescent="0.3">
      <c r="B6" s="41" t="s">
        <v>56</v>
      </c>
      <c r="C6" s="17" t="str">
        <f>IF(1-PRODUCT(N10:N10)&gt;MAX(P10:P10),"Ja","Nee")</f>
        <v>Nee</v>
      </c>
    </row>
    <row r="8" spans="2:21" ht="15.75" thickBot="1" x14ac:dyDescent="0.3">
      <c r="M8" t="s">
        <v>75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72</v>
      </c>
      <c r="R9" s="38" t="s">
        <v>73</v>
      </c>
      <c r="S9" s="4"/>
      <c r="T9" s="39" t="s">
        <v>74</v>
      </c>
      <c r="U9" s="35"/>
    </row>
    <row r="10" spans="2:21" ht="15.75" thickBot="1" x14ac:dyDescent="0.3">
      <c r="B10" s="42" t="s">
        <v>8</v>
      </c>
      <c r="C10" s="43">
        <v>0</v>
      </c>
      <c r="D10" s="43">
        <v>3800</v>
      </c>
      <c r="E10" s="44" t="s">
        <v>29</v>
      </c>
      <c r="F10" s="42" t="s">
        <v>33</v>
      </c>
      <c r="G10" s="45"/>
      <c r="H10" s="42" t="s">
        <v>29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59" priority="11">
      <formula>IF($E10="Nee",TRUE,FALSE)</formula>
    </cfRule>
  </conditionalFormatting>
  <conditionalFormatting sqref="I10">
    <cfRule type="expression" dxfId="58" priority="10">
      <formula>IF($H10="Nee",TRUE,FALSE)</formula>
    </cfRule>
  </conditionalFormatting>
  <conditionalFormatting sqref="K1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16"/>
  <sheetViews>
    <sheetView workbookViewId="0">
      <selection activeCell="O10" sqref="O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IFERROR(MIN(1-PRODUCT(M10:M14),MAX(O10:O14)),"GR")</f>
        <v>5.1669751369054495E-5</v>
      </c>
    </row>
    <row r="5" spans="2:21" x14ac:dyDescent="0.25">
      <c r="B5" s="40" t="s">
        <v>49</v>
      </c>
      <c r="C5" s="26">
        <f>MIN(1-PRODUCT(N10:N14),MAX(P10:P14))</f>
        <v>5.1669751369054495E-5</v>
      </c>
    </row>
    <row r="6" spans="2:21" ht="15.75" thickBot="1" x14ac:dyDescent="0.3">
      <c r="B6" s="41" t="s">
        <v>56</v>
      </c>
      <c r="C6" s="17" t="str">
        <f>IF(1-PRODUCT(N10:N14)&gt;MAX(P10:P14),"Ja","Nee")</f>
        <v>Nee</v>
      </c>
    </row>
    <row r="8" spans="2:21" ht="15.75" thickBot="1" x14ac:dyDescent="0.3">
      <c r="M8" t="s">
        <v>75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94</v>
      </c>
      <c r="P9" s="37" t="s">
        <v>95</v>
      </c>
      <c r="Q9" s="38" t="s">
        <v>72</v>
      </c>
      <c r="R9" s="38" t="s">
        <v>73</v>
      </c>
      <c r="S9" s="4"/>
      <c r="T9" s="39" t="s">
        <v>74</v>
      </c>
      <c r="U9" s="35"/>
    </row>
    <row r="10" spans="2:21" x14ac:dyDescent="0.25">
      <c r="B10" s="3" t="s">
        <v>8</v>
      </c>
      <c r="C10" s="4">
        <v>0</v>
      </c>
      <c r="D10" s="4">
        <v>2200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4" si="0">IF(ISNUMBER($J10),S10,IF($T10,"D","ND"))</f>
        <v>+III</v>
      </c>
      <c r="M10" s="31">
        <f t="shared" ref="M10:M14" si="1">IF(AND(F10="Geen faalkans",H10="Nee"),1,1-J10)</f>
        <v>1</v>
      </c>
      <c r="N10" s="10">
        <f t="shared" ref="N10:N14" si="2">IF(J10="-",1,M10)</f>
        <v>1</v>
      </c>
      <c r="O10" s="10">
        <f t="shared" ref="O10:O13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118</v>
      </c>
      <c r="C11" s="9">
        <f>D10</f>
        <v>2200</v>
      </c>
      <c r="D11" s="9">
        <f>C11+50</f>
        <v>2250</v>
      </c>
      <c r="E11" s="23" t="s">
        <v>28</v>
      </c>
      <c r="F11" s="8" t="s">
        <v>34</v>
      </c>
      <c r="G11" s="26">
        <v>8.4047670842823899E-2</v>
      </c>
      <c r="H11" s="8" t="s">
        <v>28</v>
      </c>
      <c r="I11" s="26">
        <v>4.6300000000000001E-5</v>
      </c>
      <c r="J11" s="10">
        <f t="shared" ref="J11:J14" si="4">IF($E11="Nee",0,IF(ISNUMBER(I11),I11,IF(ISNUMBER(G11),G11,"-")))</f>
        <v>4.6300000000000001E-5</v>
      </c>
      <c r="K11" s="32" t="str">
        <f t="shared" si="0"/>
        <v>+I</v>
      </c>
      <c r="M11" s="31">
        <f t="shared" si="1"/>
        <v>0.99995369999999995</v>
      </c>
      <c r="N11" s="10">
        <f t="shared" si="2"/>
        <v>0.99995369999999995</v>
      </c>
      <c r="O11" s="10">
        <f t="shared" si="3"/>
        <v>9.2600000000000001E-5</v>
      </c>
      <c r="P11" s="10">
        <f t="shared" ref="P11:P14" si="5">IF(J11="-",0,O11)</f>
        <v>9.2600000000000001E-5</v>
      </c>
      <c r="Q11" s="9">
        <f t="array" ref="Q11">MIN(IF('Normen en duidingsklassen'!$E$13:$E$20&gt;$J11,'Normen en duidingsklassen'!$E$13:$E$20))</f>
        <v>1.111111111111111E-4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 t="shared" ref="T11:T14" si="6">IF($E11="Ja",IF($H11="Ja",NOT(ISNUMBER($I11)),FALSE),FALSE)</f>
        <v>0</v>
      </c>
    </row>
    <row r="12" spans="2:21" x14ac:dyDescent="0.25">
      <c r="B12" s="8" t="s">
        <v>9</v>
      </c>
      <c r="C12" s="9">
        <f>D11</f>
        <v>2250</v>
      </c>
      <c r="D12" s="9">
        <f>C12+1000</f>
        <v>3250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4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119</v>
      </c>
      <c r="C13" s="9">
        <f t="shared" ref="C13" si="7">D12</f>
        <v>3250</v>
      </c>
      <c r="D13" s="9">
        <f>C13+100</f>
        <v>3350</v>
      </c>
      <c r="E13" s="23" t="s">
        <v>28</v>
      </c>
      <c r="F13" s="8" t="s">
        <v>32</v>
      </c>
      <c r="G13" s="26">
        <v>5.3700000000000003E-6</v>
      </c>
      <c r="H13" s="8" t="s">
        <v>29</v>
      </c>
      <c r="I13" s="26"/>
      <c r="J13" s="10">
        <f t="shared" si="4"/>
        <v>5.3700000000000003E-6</v>
      </c>
      <c r="K13" s="32" t="str">
        <f t="shared" si="0"/>
        <v>+III</v>
      </c>
      <c r="M13" s="31">
        <f t="shared" si="1"/>
        <v>0.99999463</v>
      </c>
      <c r="N13" s="10">
        <f t="shared" si="2"/>
        <v>0.99999463</v>
      </c>
      <c r="O13" s="10">
        <f t="shared" si="3"/>
        <v>1.0740000000000001E-5</v>
      </c>
      <c r="P13" s="10">
        <f t="shared" si="5"/>
        <v>1.0740000000000001E-5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thickBot="1" x14ac:dyDescent="0.3">
      <c r="B14" s="13" t="s">
        <v>10</v>
      </c>
      <c r="C14" s="14">
        <f>D13</f>
        <v>3350</v>
      </c>
      <c r="D14" s="14">
        <v>3800</v>
      </c>
      <c r="E14" s="24" t="s">
        <v>29</v>
      </c>
      <c r="F14" s="13" t="s">
        <v>33</v>
      </c>
      <c r="G14" s="27"/>
      <c r="H14" s="13" t="s">
        <v>29</v>
      </c>
      <c r="I14" s="27"/>
      <c r="J14" s="15">
        <f t="shared" si="4"/>
        <v>0</v>
      </c>
      <c r="K14" s="34" t="str">
        <f t="shared" si="0"/>
        <v>+III</v>
      </c>
      <c r="M14" s="33">
        <f t="shared" si="1"/>
        <v>1</v>
      </c>
      <c r="N14" s="15">
        <f t="shared" si="2"/>
        <v>1</v>
      </c>
      <c r="O14" s="15">
        <f>IF(AND(F14="Geen faalkans",H14="Nee"),0,J14*$C$3)</f>
        <v>0</v>
      </c>
      <c r="P14" s="15">
        <f t="shared" si="5"/>
        <v>0</v>
      </c>
      <c r="Q14" s="14">
        <f t="array" ref="Q14">MIN(IF('Normen en duidingsklassen'!$E$13:$E$20&gt;$J14,'Normen en duidingsklassen'!$E$13:$E$20))</f>
        <v>1.111111111111111E-5</v>
      </c>
      <c r="R14" s="14">
        <f>IFERROR(MATCH($Q14,'Normen en duidingsklassen'!$E$13:$E$20),1)</f>
        <v>1</v>
      </c>
      <c r="S14" s="14" t="str">
        <f>INDEX('Normen en duidingsklassen'!$D$13:$D$20,R14)</f>
        <v>+III</v>
      </c>
      <c r="T14" s="17" t="b">
        <f t="shared" si="6"/>
        <v>0</v>
      </c>
    </row>
    <row r="15" spans="2:21" x14ac:dyDescent="0.25">
      <c r="M15" s="1"/>
    </row>
    <row r="16" spans="2:21" x14ac:dyDescent="0.25">
      <c r="M16" s="1"/>
    </row>
  </sheetData>
  <conditionalFormatting sqref="G10:G14">
    <cfRule type="expression" dxfId="48" priority="5">
      <formula>IF($E10="Nee",TRUE,FALSE)</formula>
    </cfRule>
  </conditionalFormatting>
  <conditionalFormatting sqref="I10:I14">
    <cfRule type="expression" dxfId="47" priority="4">
      <formula>IF($H10="Nee",TRUE,FALSE)</formula>
    </cfRule>
  </conditionalFormatting>
  <conditionalFormatting sqref="K10:K14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E15:E30 F10:F14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16"/>
  <sheetViews>
    <sheetView workbookViewId="0">
      <selection activeCell="O15" sqref="O1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101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>
        <f>IFERROR(MIN(1-PRODUCT(M10:M14),MAX(O10:O14)),"GR")</f>
        <v>4.74E-5</v>
      </c>
    </row>
    <row r="5" spans="2:21" x14ac:dyDescent="0.25">
      <c r="B5" s="40" t="s">
        <v>49</v>
      </c>
      <c r="C5" s="26">
        <f>MIN(1-PRODUCT(N10:N14),MAX(P10:P14))</f>
        <v>4.74E-5</v>
      </c>
    </row>
    <row r="6" spans="2:21" ht="15.75" thickBot="1" x14ac:dyDescent="0.3">
      <c r="B6" s="41" t="s">
        <v>56</v>
      </c>
      <c r="C6" s="17" t="str">
        <f>IF(1-PRODUCT(N10:N14)&gt;MAX(P10:P14),"Ja","Nee")</f>
        <v>Ja</v>
      </c>
    </row>
    <row r="8" spans="2:21" ht="15.75" thickBot="1" x14ac:dyDescent="0.3">
      <c r="M8" t="s">
        <v>75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94</v>
      </c>
      <c r="P9" s="37" t="s">
        <v>95</v>
      </c>
      <c r="Q9" s="38" t="s">
        <v>72</v>
      </c>
      <c r="R9" s="38" t="s">
        <v>73</v>
      </c>
      <c r="S9" s="4"/>
      <c r="T9" s="39" t="s">
        <v>74</v>
      </c>
      <c r="U9" s="35"/>
    </row>
    <row r="10" spans="2:21" x14ac:dyDescent="0.25">
      <c r="B10" s="3" t="s">
        <v>8</v>
      </c>
      <c r="C10" s="4">
        <v>0</v>
      </c>
      <c r="D10" s="4">
        <v>2200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4" si="0">IF(ISNUMBER($J10),S10,IF($T10,"D","ND"))</f>
        <v>+III</v>
      </c>
      <c r="M10" s="31">
        <f t="shared" ref="M10:M14" si="1">IF(AND(F10="Geen faalkans",H10="Nee"),1,1-J10)</f>
        <v>1</v>
      </c>
      <c r="N10" s="10">
        <f t="shared" ref="N10:N14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118</v>
      </c>
      <c r="C11" s="9">
        <f>D10</f>
        <v>2200</v>
      </c>
      <c r="D11" s="9">
        <f>C11+50</f>
        <v>2250</v>
      </c>
      <c r="E11" s="23" t="s">
        <v>28</v>
      </c>
      <c r="F11" s="8" t="s">
        <v>34</v>
      </c>
      <c r="G11" s="26">
        <v>4.74E-5</v>
      </c>
      <c r="H11" s="8" t="s">
        <v>29</v>
      </c>
      <c r="I11" s="26"/>
      <c r="J11" s="10">
        <f t="shared" ref="J11:J14" si="3">IF($E11="Nee",0,IF(ISNUMBER(I11),I11,IF(ISNUMBER(G11),G11,"-")))</f>
        <v>4.74E-5</v>
      </c>
      <c r="K11" s="32" t="str">
        <f t="shared" si="0"/>
        <v>+I</v>
      </c>
      <c r="M11" s="31">
        <f t="shared" si="1"/>
        <v>0.99995259999999997</v>
      </c>
      <c r="N11" s="10">
        <f t="shared" si="2"/>
        <v>0.99995259999999997</v>
      </c>
      <c r="O11" s="10">
        <f t="shared" ref="O11:O14" si="4">IF(AND(F11="Geen faalkans",H11="Nee"),0,J11*$C$3)</f>
        <v>4.74E-5</v>
      </c>
      <c r="P11" s="10">
        <f t="shared" ref="P11:P14" si="5">IF(J11="-",0,O11)</f>
        <v>4.74E-5</v>
      </c>
      <c r="Q11" s="9">
        <f t="array" ref="Q11">MIN(IF('Normen en duidingsklassen'!$E$13:$E$20&gt;$J11,'Normen en duidingsklassen'!$E$13:$E$20))</f>
        <v>1.111111111111111E-4</v>
      </c>
      <c r="R11" s="9">
        <f>IFERROR(MATCH($Q11,'Normen en duidingsklassen'!$E$13:$E$20),1)</f>
        <v>3</v>
      </c>
      <c r="S11" s="9" t="str">
        <f>INDEX('Normen en duidingsklassen'!$D$13:$D$20,R11)</f>
        <v>+I</v>
      </c>
      <c r="T11" s="12" t="b">
        <f t="shared" ref="T11:T14" si="6">IF($E11="Ja",IF($H11="Ja",NOT(ISNUMBER($I11)),FALSE),FALSE)</f>
        <v>0</v>
      </c>
    </row>
    <row r="12" spans="2:21" x14ac:dyDescent="0.25">
      <c r="B12" s="8" t="s">
        <v>9</v>
      </c>
      <c r="C12" s="9">
        <f>D11</f>
        <v>2250</v>
      </c>
      <c r="D12" s="9">
        <f>C12+1000</f>
        <v>3250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3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119</v>
      </c>
      <c r="C13" s="9">
        <f t="shared" ref="C13" si="7">D12</f>
        <v>3250</v>
      </c>
      <c r="D13" s="9">
        <f>C13+100</f>
        <v>3350</v>
      </c>
      <c r="E13" s="23" t="s">
        <v>28</v>
      </c>
      <c r="F13" s="8" t="s">
        <v>32</v>
      </c>
      <c r="G13" s="26">
        <v>6.2360000000000002E-3</v>
      </c>
      <c r="H13" s="8" t="s">
        <v>28</v>
      </c>
      <c r="I13" s="26">
        <v>5.2639999999999995E-7</v>
      </c>
      <c r="J13" s="10">
        <f t="shared" si="3"/>
        <v>5.2639999999999995E-7</v>
      </c>
      <c r="K13" s="32" t="str">
        <f t="shared" si="0"/>
        <v>+III</v>
      </c>
      <c r="M13" s="31">
        <f t="shared" si="1"/>
        <v>0.99999947359999997</v>
      </c>
      <c r="N13" s="10">
        <f t="shared" si="2"/>
        <v>0.99999947359999997</v>
      </c>
      <c r="O13" s="10">
        <f t="shared" si="4"/>
        <v>5.2639999999999995E-7</v>
      </c>
      <c r="P13" s="10">
        <f t="shared" si="5"/>
        <v>5.2639999999999995E-7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thickBot="1" x14ac:dyDescent="0.3">
      <c r="B14" s="13" t="s">
        <v>10</v>
      </c>
      <c r="C14" s="14">
        <f>D13</f>
        <v>3350</v>
      </c>
      <c r="D14" s="14">
        <v>3800</v>
      </c>
      <c r="E14" s="24" t="s">
        <v>29</v>
      </c>
      <c r="F14" s="13" t="s">
        <v>33</v>
      </c>
      <c r="G14" s="27"/>
      <c r="H14" s="13" t="s">
        <v>29</v>
      </c>
      <c r="I14" s="27"/>
      <c r="J14" s="15">
        <f t="shared" si="3"/>
        <v>0</v>
      </c>
      <c r="K14" s="34" t="str">
        <f t="shared" si="0"/>
        <v>+III</v>
      </c>
      <c r="M14" s="33">
        <f t="shared" si="1"/>
        <v>1</v>
      </c>
      <c r="N14" s="15">
        <f t="shared" si="2"/>
        <v>1</v>
      </c>
      <c r="O14" s="15">
        <f t="shared" si="4"/>
        <v>0</v>
      </c>
      <c r="P14" s="15">
        <f t="shared" si="5"/>
        <v>0</v>
      </c>
      <c r="Q14" s="14">
        <f t="array" ref="Q14">MIN(IF('Normen en duidingsklassen'!$E$13:$E$20&gt;$J14,'Normen en duidingsklassen'!$E$13:$E$20))</f>
        <v>1.111111111111111E-5</v>
      </c>
      <c r="R14" s="14">
        <f>IFERROR(MATCH($Q14,'Normen en duidingsklassen'!$E$13:$E$20),1)</f>
        <v>1</v>
      </c>
      <c r="S14" s="14" t="str">
        <f>INDEX('Normen en duidingsklassen'!$D$13:$D$20,R14)</f>
        <v>+III</v>
      </c>
      <c r="T14" s="17" t="b">
        <f t="shared" si="6"/>
        <v>0</v>
      </c>
    </row>
    <row r="15" spans="2:21" x14ac:dyDescent="0.25">
      <c r="M15" s="1"/>
    </row>
    <row r="16" spans="2:21" x14ac:dyDescent="0.25">
      <c r="M16" s="1"/>
    </row>
  </sheetData>
  <conditionalFormatting sqref="G10:G14">
    <cfRule type="expression" dxfId="37" priority="5">
      <formula>IF($E10="Nee",TRUE,FALSE)</formula>
    </cfRule>
  </conditionalFormatting>
  <conditionalFormatting sqref="I10:I14">
    <cfRule type="expression" dxfId="36" priority="4">
      <formula>IF($H10="Nee",TRUE,FALSE)</formula>
    </cfRule>
  </conditionalFormatting>
  <conditionalFormatting sqref="K10:K14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E15:E30 F10:F14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FCA-CACD-4FD3-9824-AAC6F50E0C35}">
  <dimension ref="B2:Y17"/>
  <sheetViews>
    <sheetView workbookViewId="0">
      <selection activeCell="W7" sqref="W7"/>
    </sheetView>
  </sheetViews>
  <sheetFormatPr defaultRowHeight="15" x14ac:dyDescent="0.25"/>
  <cols>
    <col min="3" max="3" width="10.7109375" customWidth="1"/>
    <col min="4" max="4" width="11.140625" customWidth="1"/>
    <col min="6" max="6" width="19.5703125" customWidth="1"/>
    <col min="7" max="7" width="13.28515625" customWidth="1"/>
    <col min="8" max="8" width="12.5703125" customWidth="1"/>
    <col min="9" max="9" width="15.28515625" customWidth="1"/>
    <col min="10" max="10" width="16.140625" customWidth="1"/>
    <col min="11" max="11" width="15.28515625" customWidth="1"/>
    <col min="12" max="12" width="13.5703125" customWidth="1"/>
    <col min="14" max="14" width="13" customWidth="1"/>
    <col min="15" max="15" width="15.7109375" customWidth="1"/>
  </cols>
  <sheetData>
    <row r="2" spans="2:25" ht="15.75" thickBot="1" x14ac:dyDescent="0.3">
      <c r="B2" s="2" t="s">
        <v>57</v>
      </c>
      <c r="C2" s="2" t="s">
        <v>120</v>
      </c>
    </row>
    <row r="3" spans="2:25" x14ac:dyDescent="0.25">
      <c r="B3" s="36" t="s">
        <v>52</v>
      </c>
      <c r="C3" s="7">
        <v>1</v>
      </c>
    </row>
    <row r="4" spans="2:25" x14ac:dyDescent="0.25">
      <c r="B4" s="40" t="s">
        <v>55</v>
      </c>
      <c r="C4" s="26">
        <f ca="1">IFERROR(MIN(1-PRODUCT(Q10:Q16),MAX(S10:S16)),"GR")</f>
        <v>7.5300000000000003E-9</v>
      </c>
    </row>
    <row r="5" spans="2:25" x14ac:dyDescent="0.25">
      <c r="B5" s="40" t="s">
        <v>49</v>
      </c>
      <c r="C5" s="26">
        <f ca="1">MIN(1-PRODUCT(R10:R16),MAX(T10:T16))</f>
        <v>7.5300000000000003E-9</v>
      </c>
    </row>
    <row r="6" spans="2:25" ht="15.75" thickBot="1" x14ac:dyDescent="0.3">
      <c r="B6" s="41" t="s">
        <v>56</v>
      </c>
      <c r="C6" s="17" t="str">
        <f ca="1">IF(1-PRODUCT(R10:R16)&gt;MAX(T10:T16),"Ja","Nee")</f>
        <v>Ja</v>
      </c>
    </row>
    <row r="8" spans="2:25" ht="15.75" thickBot="1" x14ac:dyDescent="0.3">
      <c r="Q8" t="s">
        <v>75</v>
      </c>
    </row>
    <row r="9" spans="2:25" ht="60.75" thickBot="1" x14ac:dyDescent="0.3">
      <c r="B9" s="18" t="s">
        <v>0</v>
      </c>
      <c r="C9" s="19" t="s">
        <v>1</v>
      </c>
      <c r="D9" s="19" t="s">
        <v>93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72</v>
      </c>
      <c r="V9" s="38" t="s">
        <v>73</v>
      </c>
      <c r="W9" s="4"/>
      <c r="X9" s="39" t="s">
        <v>74</v>
      </c>
      <c r="Y9" s="35"/>
    </row>
    <row r="10" spans="2:25" x14ac:dyDescent="0.25">
      <c r="B10" s="3" t="s">
        <v>8</v>
      </c>
      <c r="C10" s="4">
        <v>0</v>
      </c>
      <c r="D10" s="4">
        <v>250</v>
      </c>
      <c r="E10" s="22" t="s">
        <v>28</v>
      </c>
      <c r="F10" s="3" t="s">
        <v>32</v>
      </c>
      <c r="G10" s="5">
        <v>3.5099999999999999E-2</v>
      </c>
      <c r="H10" s="25">
        <f ca="1">G10*(1+RAND()*4)</f>
        <v>4.6813564867965549E-2</v>
      </c>
      <c r="I10" s="3" t="s">
        <v>28</v>
      </c>
      <c r="J10" s="5">
        <v>4.7500000000000003E-9</v>
      </c>
      <c r="K10" s="25">
        <f>J10</f>
        <v>4.7500000000000003E-9</v>
      </c>
      <c r="L10" s="29">
        <f t="shared" ref="L10:M14" si="0">IF($E10="Nee",0,IF(ISNUMBER(J10),J10,IF(ISNUMBER(G10),G10,"-")))</f>
        <v>4.7500000000000003E-9</v>
      </c>
      <c r="M10" s="5">
        <f t="shared" si="0"/>
        <v>4.7500000000000003E-9</v>
      </c>
      <c r="N10" s="6">
        <f t="shared" ref="N10:N14" si="1">IF(ISNUMBER(L10),IF(M10=0,1,M10/L10),"-")</f>
        <v>1</v>
      </c>
      <c r="O10" s="30" t="str">
        <f t="shared" ref="O10:O14" si="2">IF(ISNUMBER($M10),W10,IF($X10,"D","ND"))</f>
        <v>+III</v>
      </c>
      <c r="Q10" s="31">
        <f t="shared" ref="Q10:Q15" si="3">IF(AND(F10="Geen faalkans",I10="Nee"),1,1-M10)</f>
        <v>0.99999999525000005</v>
      </c>
      <c r="R10" s="10">
        <f>IF(M10="-",1,Q10)</f>
        <v>0.99999999525000005</v>
      </c>
      <c r="S10" s="10">
        <f t="shared" ref="S10:S15" si="4">IF(AND(F10="Geen faalkans",I10="Nee"),0,L10*$C$3)</f>
        <v>4.7500000000000003E-9</v>
      </c>
      <c r="T10" s="10">
        <f>IF(L10="-",0,S10)</f>
        <v>4.7500000000000003E-9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f>D10</f>
        <v>250</v>
      </c>
      <c r="D11" s="9">
        <v>316</v>
      </c>
      <c r="E11" s="23" t="s">
        <v>29</v>
      </c>
      <c r="F11" s="8" t="s">
        <v>33</v>
      </c>
      <c r="G11" s="10"/>
      <c r="H11" s="26"/>
      <c r="I11" s="8" t="s">
        <v>29</v>
      </c>
      <c r="J11" s="10"/>
      <c r="K11" s="26"/>
      <c r="L11" s="31">
        <f t="shared" si="0"/>
        <v>0</v>
      </c>
      <c r="M11" s="10">
        <f t="shared" si="0"/>
        <v>0</v>
      </c>
      <c r="N11" s="11">
        <f t="shared" si="1"/>
        <v>1</v>
      </c>
      <c r="O11" s="32" t="str">
        <f t="shared" si="2"/>
        <v>+III</v>
      </c>
      <c r="Q11" s="31">
        <f t="shared" si="3"/>
        <v>1</v>
      </c>
      <c r="R11" s="10">
        <f t="shared" ref="R11:R16" si="5">IF(M11="-",1,Q11)</f>
        <v>1</v>
      </c>
      <c r="S11" s="10">
        <f t="shared" si="4"/>
        <v>0</v>
      </c>
      <c r="T11" s="10">
        <f t="shared" ref="T11:T16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16" si="7">IF($E11="Ja",IF($I11="Ja",NOT(ISNUMBER($J11)),FALSE),FALSE)</f>
        <v>0</v>
      </c>
    </row>
    <row r="12" spans="2:25" x14ac:dyDescent="0.25">
      <c r="B12" s="8" t="s">
        <v>10</v>
      </c>
      <c r="C12" s="9">
        <f t="shared" ref="C12:C16" si="8">D11</f>
        <v>316</v>
      </c>
      <c r="D12" s="9">
        <v>1200</v>
      </c>
      <c r="E12" s="23" t="s">
        <v>28</v>
      </c>
      <c r="F12" s="8" t="s">
        <v>32</v>
      </c>
      <c r="G12" s="10">
        <v>7.5300000000000003E-9</v>
      </c>
      <c r="H12" s="26">
        <f t="shared" ref="H12:H13" ca="1" si="9">G12*(1+RAND()*4)</f>
        <v>3.7492467425137399E-8</v>
      </c>
      <c r="I12" s="8" t="s">
        <v>29</v>
      </c>
      <c r="J12" s="10"/>
      <c r="K12" s="26"/>
      <c r="L12" s="31">
        <f t="shared" si="0"/>
        <v>7.5300000000000003E-9</v>
      </c>
      <c r="M12" s="10">
        <f t="shared" ca="1" si="0"/>
        <v>3.7492467425137399E-8</v>
      </c>
      <c r="N12" s="11">
        <f t="shared" ca="1" si="1"/>
        <v>4.9790793393276758</v>
      </c>
      <c r="O12" s="32" t="str">
        <f t="shared" ca="1" si="2"/>
        <v>+III</v>
      </c>
      <c r="Q12" s="31">
        <f t="shared" ca="1" si="3"/>
        <v>0.99999996250753254</v>
      </c>
      <c r="R12" s="10">
        <f t="shared" ca="1" si="5"/>
        <v>0.99999996250753254</v>
      </c>
      <c r="S12" s="10">
        <f t="shared" si="4"/>
        <v>7.5300000000000003E-9</v>
      </c>
      <c r="T12" s="10">
        <f t="shared" si="6"/>
        <v>7.5300000000000003E-9</v>
      </c>
      <c r="U12" s="9">
        <f t="array" aca="1" ref="U12" ca="1">MIN(IF('Normen en duidingsklassen'!$E$13:$E$20&gt;$M12,'Normen en duidingsklassen'!$E$13:$E$20))</f>
        <v>1.111111111111111E-5</v>
      </c>
      <c r="V12" s="9">
        <f ca="1">IFERROR(MATCH($U12,'Normen en duidingsklassen'!$E$13:$E$20),1)</f>
        <v>1</v>
      </c>
      <c r="W12" s="9" t="str">
        <f ca="1"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11</v>
      </c>
      <c r="C13" s="9">
        <f t="shared" si="8"/>
        <v>1200</v>
      </c>
      <c r="D13" s="9">
        <v>2400</v>
      </c>
      <c r="E13" s="23" t="s">
        <v>28</v>
      </c>
      <c r="F13" s="8" t="s">
        <v>32</v>
      </c>
      <c r="G13" s="10">
        <v>3.6399999999999998E-11</v>
      </c>
      <c r="H13" s="26">
        <f t="shared" ca="1" si="9"/>
        <v>1.7306417231193694E-10</v>
      </c>
      <c r="I13" s="8" t="s">
        <v>29</v>
      </c>
      <c r="J13" s="10"/>
      <c r="K13" s="26"/>
      <c r="L13" s="31">
        <f t="shared" si="0"/>
        <v>3.6399999999999998E-11</v>
      </c>
      <c r="M13" s="10">
        <f t="shared" ca="1" si="0"/>
        <v>1.7306417231193694E-10</v>
      </c>
      <c r="N13" s="11">
        <f t="shared" ca="1" si="1"/>
        <v>4.7545102283499165</v>
      </c>
      <c r="O13" s="32" t="str">
        <f t="shared" ca="1" si="2"/>
        <v>+III</v>
      </c>
      <c r="Q13" s="31">
        <f t="shared" ca="1" si="3"/>
        <v>0.99999999982693588</v>
      </c>
      <c r="R13" s="10">
        <f t="shared" ca="1" si="5"/>
        <v>0.99999999982693588</v>
      </c>
      <c r="S13" s="10">
        <f t="shared" si="4"/>
        <v>3.6399999999999998E-11</v>
      </c>
      <c r="T13" s="10">
        <f t="shared" si="6"/>
        <v>3.6399999999999998E-11</v>
      </c>
      <c r="U13" s="9">
        <f t="array" aca="1" ref="U13" ca="1">MIN(IF('Normen en duidingsklassen'!$E$13:$E$20&gt;$M13,'Normen en duidingsklassen'!$E$13:$E$20))</f>
        <v>1.111111111111111E-5</v>
      </c>
      <c r="V13" s="9">
        <f ca="1">IFERROR(MATCH($U13,'Normen en duidingsklassen'!$E$13:$E$20),1)</f>
        <v>1</v>
      </c>
      <c r="W13" s="9" t="str">
        <f ca="1"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25</v>
      </c>
      <c r="C14" s="9">
        <f>D13</f>
        <v>2400</v>
      </c>
      <c r="D14" s="9">
        <v>2700</v>
      </c>
      <c r="E14" s="23" t="s">
        <v>29</v>
      </c>
      <c r="F14" s="8" t="s">
        <v>33</v>
      </c>
      <c r="G14" s="10"/>
      <c r="H14" s="26"/>
      <c r="I14" s="8" t="s">
        <v>29</v>
      </c>
      <c r="J14" s="10"/>
      <c r="K14" s="26"/>
      <c r="L14" s="31">
        <f t="shared" si="0"/>
        <v>0</v>
      </c>
      <c r="M14" s="10">
        <f t="shared" si="0"/>
        <v>0</v>
      </c>
      <c r="N14" s="11">
        <f t="shared" si="1"/>
        <v>1</v>
      </c>
      <c r="O14" s="32" t="str">
        <f t="shared" si="2"/>
        <v>+III</v>
      </c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26</v>
      </c>
      <c r="C15" s="9">
        <f t="shared" si="8"/>
        <v>2700</v>
      </c>
      <c r="D15" s="9">
        <v>3200</v>
      </c>
      <c r="E15" s="23" t="s">
        <v>29</v>
      </c>
      <c r="F15" s="8" t="s">
        <v>33</v>
      </c>
      <c r="G15" s="10"/>
      <c r="H15" s="26"/>
      <c r="I15" s="8" t="s">
        <v>29</v>
      </c>
      <c r="J15" s="10"/>
      <c r="K15" s="26"/>
      <c r="L15" s="31">
        <f>IF($E15="Nee",0,IF(ISNUMBER(J15),J15,IF(ISNUMBER(G15),G15,"-")))</f>
        <v>0</v>
      </c>
      <c r="M15" s="10">
        <f t="shared" ref="M15:M16" si="10">IF($E15="Nee",0,IF(ISNUMBER(K15),K15,IF(ISNUMBER(H15),H15,"-")))</f>
        <v>0</v>
      </c>
      <c r="N15" s="11">
        <f>IF(ISNUMBER(L15),IF(M15=0,1,M15/L15),"-")</f>
        <v>1</v>
      </c>
      <c r="O15" s="32" t="str">
        <f>IF(ISNUMBER($M15),W15,IF($X15,"D","ND"))</f>
        <v>+III</v>
      </c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ht="15.75" thickBot="1" x14ac:dyDescent="0.3">
      <c r="B16" s="13" t="s">
        <v>27</v>
      </c>
      <c r="C16" s="14">
        <f t="shared" si="8"/>
        <v>3200</v>
      </c>
      <c r="D16" s="14">
        <v>3800</v>
      </c>
      <c r="E16" s="24" t="s">
        <v>29</v>
      </c>
      <c r="F16" s="13" t="s">
        <v>33</v>
      </c>
      <c r="G16" s="15"/>
      <c r="H16" s="27"/>
      <c r="I16" s="13" t="s">
        <v>29</v>
      </c>
      <c r="J16" s="15"/>
      <c r="K16" s="27"/>
      <c r="L16" s="33">
        <f t="shared" ref="L16" si="11">IF($E16="Nee",0,IF(ISNUMBER(J16),J16,IF(ISNUMBER(G16),G16,"-")))</f>
        <v>0</v>
      </c>
      <c r="M16" s="15">
        <f t="shared" si="10"/>
        <v>0</v>
      </c>
      <c r="N16" s="16">
        <f t="shared" ref="N16" si="12">IF(ISNUMBER(L16),IF(M16=0,1,M16/L16),"-")</f>
        <v>1</v>
      </c>
      <c r="O16" s="34" t="str">
        <f>IF(ISNUMBER($M16),W16,IF($X16,"D","ND"))</f>
        <v>+III</v>
      </c>
      <c r="Q16" s="33">
        <f>IF(AND(F16="Geen faalkans",I16="Nee"),1,1-M16)</f>
        <v>1</v>
      </c>
      <c r="R16" s="15">
        <f t="shared" si="5"/>
        <v>1</v>
      </c>
      <c r="S16" s="15">
        <f>IF(AND(F16="Geen faalkans",I16="Nee"),0,L16*$C$3)</f>
        <v>0</v>
      </c>
      <c r="T16" s="15">
        <f t="shared" si="6"/>
        <v>0</v>
      </c>
      <c r="U16" s="14">
        <f t="array" ref="U16">MIN(IF('Normen en duidingsklassen'!$E$13:$E$20&gt;$M16,'Normen en duidingsklassen'!$E$13:$E$20))</f>
        <v>1.111111111111111E-5</v>
      </c>
      <c r="V16" s="14">
        <f>IFERROR(MATCH($U16,'Normen en duidingsklassen'!$E$13:$E$20),1)</f>
        <v>1</v>
      </c>
      <c r="W16" s="14" t="str">
        <f>INDEX('Normen en duidingsklassen'!$D$13:$D$20,V16)</f>
        <v>+III</v>
      </c>
      <c r="X16" s="17" t="b">
        <f t="shared" si="7"/>
        <v>0</v>
      </c>
    </row>
    <row r="17" spans="17:17" x14ac:dyDescent="0.25">
      <c r="Q17" s="1"/>
    </row>
  </sheetData>
  <conditionalFormatting sqref="G10:H16">
    <cfRule type="expression" dxfId="26" priority="5">
      <formula>IF($E10="Nee",TRUE,FALSE)</formula>
    </cfRule>
  </conditionalFormatting>
  <conditionalFormatting sqref="J10:K16">
    <cfRule type="expression" dxfId="25" priority="4">
      <formula>IF($I10="Nee",TRUE,FALSE)</formula>
    </cfRule>
  </conditionalFormatting>
  <conditionalFormatting sqref="O10:O16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EEFD6B67-2AEB-4B37-A4A3-017C73F46B8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ECCF0048-1E3F-41C4-89EB-A4D6BEEEC517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0789182-BAFD-4759-AF32-2566B4703715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50121401-8F89-4038-B537-9CF74E765B03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F5252B5F-60F4-4DE4-ADDE-0E7A72F4C537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8F17C3C-6A34-482C-9C02-73D119699D9B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498CA6-10D4-4E9D-878B-D201EE30C023}">
          <x14:formula1>
            <xm:f>Informatiepagina!$B$15:$B$17</xm:f>
          </x14:formula1>
          <xm:sqref>E17</xm:sqref>
        </x14:dataValidation>
        <x14:dataValidation type="list" allowBlank="1" showInputMessage="1" showErrorMessage="1" xr:uid="{220A8504-E777-4379-ABA4-13039432508E}">
          <x14:formula1>
            <xm:f>Informatiepagina!$B$20:$B$21</xm:f>
          </x14:formula1>
          <xm:sqref>F10:F16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E966-7024-4CBC-8417-59943922E049}">
  <dimension ref="B2:U13"/>
  <sheetViews>
    <sheetView workbookViewId="0">
      <selection activeCell="K35" sqref="K3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121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 t="str">
        <f>IFERROR(MIN(1-PRODUCT(M10:M11),MAX(O10:O11)),"GR")</f>
        <v>GR</v>
      </c>
    </row>
    <row r="5" spans="2:21" x14ac:dyDescent="0.25">
      <c r="B5" s="40" t="s">
        <v>49</v>
      </c>
      <c r="C5" s="26">
        <f>MIN(1-PRODUCT(N10:N11),MAX(P10:P11))</f>
        <v>0</v>
      </c>
    </row>
    <row r="6" spans="2:21" ht="15.75" thickBot="1" x14ac:dyDescent="0.3">
      <c r="B6" s="41" t="s">
        <v>56</v>
      </c>
      <c r="C6" s="17" t="str">
        <f>IF(1-PRODUCT(N10:N11)&gt;MAX(P10:P11),"Ja","Nee")</f>
        <v>Nee</v>
      </c>
    </row>
    <row r="8" spans="2:21" ht="15.75" thickBot="1" x14ac:dyDescent="0.3">
      <c r="M8" t="s">
        <v>75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94</v>
      </c>
      <c r="P9" s="37" t="s">
        <v>95</v>
      </c>
      <c r="Q9" s="38" t="s">
        <v>72</v>
      </c>
      <c r="R9" s="38" t="s">
        <v>73</v>
      </c>
      <c r="S9" s="4"/>
      <c r="T9" s="39" t="s">
        <v>74</v>
      </c>
      <c r="U9" s="35"/>
    </row>
    <row r="10" spans="2:21" x14ac:dyDescent="0.25">
      <c r="B10" s="8"/>
      <c r="C10" s="9"/>
      <c r="D10" s="9"/>
      <c r="E10" s="23" t="s">
        <v>28</v>
      </c>
      <c r="F10" s="8" t="s">
        <v>32</v>
      </c>
      <c r="G10" s="26"/>
      <c r="H10" s="8" t="s">
        <v>28</v>
      </c>
      <c r="I10" s="26"/>
      <c r="J10" s="10" t="str">
        <f t="shared" ref="J10:J11" si="0">IF($E10="Nee",0,IF(ISNUMBER(I10),I10,IF(ISNUMBER(G10),G10,"-")))</f>
        <v>-</v>
      </c>
      <c r="K10" s="32" t="str">
        <f t="shared" ref="K10:K11" si="1">IF(ISNUMBER($J10),S10,IF($T10,"D","ND"))</f>
        <v>D</v>
      </c>
      <c r="M10" s="31" t="e">
        <f t="shared" ref="M10:M11" si="2">IF(AND(F10="Geen faalkans",H10="Nee"),1,1-J10)</f>
        <v>#VALUE!</v>
      </c>
      <c r="N10" s="10">
        <f t="shared" ref="N10:N11" si="3">IF(J10="-",1,M10)</f>
        <v>1</v>
      </c>
      <c r="O10" s="10" t="e">
        <f t="shared" ref="O10" si="4">IF(AND(F10="Geen faalkans",H10="Nee"),0,J10*$C$3)</f>
        <v>#VALUE!</v>
      </c>
      <c r="P10" s="10">
        <f t="shared" ref="P10:P11" si="5">IF(J10="-",0,O10)</f>
        <v>0</v>
      </c>
      <c r="Q10" s="9">
        <f t="array" ref="Q10">MIN(IF('Normen en duidingsklassen'!$E$13:$E$20&gt;$J10,'Normen en duidingsklassen'!$E$13:$E$20))</f>
        <v>0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 t="shared" ref="T10:T11" si="6">IF($E10="Ja",IF($H10="Ja",NOT(ISNUMBER($I10)),FALSE),FALSE)</f>
        <v>1</v>
      </c>
    </row>
    <row r="11" spans="2:21" ht="15.75" thickBot="1" x14ac:dyDescent="0.3">
      <c r="B11" s="13"/>
      <c r="C11" s="14"/>
      <c r="D11" s="14"/>
      <c r="E11" s="24" t="s">
        <v>28</v>
      </c>
      <c r="F11" s="13" t="s">
        <v>32</v>
      </c>
      <c r="G11" s="27"/>
      <c r="H11" s="13" t="s">
        <v>28</v>
      </c>
      <c r="I11" s="27"/>
      <c r="J11" s="15" t="str">
        <f t="shared" si="0"/>
        <v>-</v>
      </c>
      <c r="K11" s="34" t="str">
        <f t="shared" si="1"/>
        <v>D</v>
      </c>
      <c r="M11" s="33" t="e">
        <f t="shared" si="2"/>
        <v>#VALUE!</v>
      </c>
      <c r="N11" s="15">
        <f t="shared" si="3"/>
        <v>1</v>
      </c>
      <c r="O11" s="15" t="e">
        <f>IF(AND(F11="Geen faalkans",H11="Nee"),0,J11*$C$3)</f>
        <v>#VALUE!</v>
      </c>
      <c r="P11" s="15">
        <f t="shared" si="5"/>
        <v>0</v>
      </c>
      <c r="Q11" s="14">
        <f t="array" ref="Q11">MIN(IF('Normen en duidingsklassen'!$E$13:$E$20&gt;$J11,'Normen en duidingsklassen'!$E$13:$E$20))</f>
        <v>0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 t="shared" si="6"/>
        <v>1</v>
      </c>
    </row>
    <row r="12" spans="2:21" x14ac:dyDescent="0.25">
      <c r="M12" s="1"/>
    </row>
    <row r="13" spans="2:21" x14ac:dyDescent="0.25">
      <c r="M13" s="1"/>
    </row>
  </sheetData>
  <conditionalFormatting sqref="G10:G11">
    <cfRule type="expression" dxfId="15" priority="5">
      <formula>IF($E10="Nee",TRUE,FALSE)</formula>
    </cfRule>
  </conditionalFormatting>
  <conditionalFormatting sqref="I10:I11">
    <cfRule type="expression" dxfId="14" priority="4">
      <formula>IF($H10="Nee",TRUE,FALSE)</formula>
    </cfRule>
  </conditionalFormatting>
  <conditionalFormatting sqref="K10:K1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CF60AD0D-D361-4845-B80E-0DFF698F285D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17A26062-45B1-4EE7-AD72-DB6116A954B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66C5C1F4-3FF4-4B79-A229-298D174BE770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93D7BBA-38E1-4B54-B4B5-F2D8A340EE07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319AD8C-E501-42AF-BFA6-3C53BB78A8AA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17DA5B8-9C6A-4230-AB4D-D6BCE482C5F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15A567-6EEE-4A7E-BED2-3D60E24BBA88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3B837251-5426-4CD1-B6F5-8E3C778B4D76}">
          <x14:formula1>
            <xm:f>Informatiepagina!$B$20:$B$21</xm:f>
          </x14:formula1>
          <xm:sqref>F10:F11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5"/>
  <sheetViews>
    <sheetView workbookViewId="0">
      <selection activeCell="D16" sqref="D16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89</v>
      </c>
      <c r="D2" s="1">
        <f ca="1">IFERROR(1-PRODUCT(G7:G13),"GR")</f>
        <v>1.5132197359628119E-2</v>
      </c>
      <c r="E2" t="str">
        <f ca="1">IF(D2="GR","-",INDEX('Normen en duidingsklassen'!$D$4:$D$8,H2))</f>
        <v>D</v>
      </c>
      <c r="G2">
        <f t="array" aca="1" ref="G2" ca="1">MIN(IF('Normen en duidingsklassen'!$F$4:$F$8&gt;D2,'Normen en duidingsklassen'!$F$4:$F$8))</f>
        <v>0.03</v>
      </c>
      <c r="H2">
        <f ca="1">IFERROR(MATCH(G2,'Normen en duidingsklassen'!$F$4:$F$8),1)</f>
        <v>5</v>
      </c>
    </row>
    <row r="3" spans="2:8" x14ac:dyDescent="0.25">
      <c r="B3" s="2" t="s">
        <v>88</v>
      </c>
      <c r="D3" s="1">
        <f ca="1">1-PRODUCT(H7:H13)</f>
        <v>1.5132197359628119E-2</v>
      </c>
      <c r="E3" t="str">
        <f ca="1">INDEX('Normen en duidingsklassen'!$D$4:$D$8,H3)</f>
        <v>D</v>
      </c>
      <c r="G3">
        <f t="array" aca="1" ref="G3" ca="1">MIN(IF('Normen en duidingsklassen'!$F$4:$F$8&gt;D3,'Normen en duidingsklassen'!$F$4:$F$8))</f>
        <v>0.03</v>
      </c>
      <c r="H3">
        <f ca="1">IFERROR(MATCH(G3,'Normen en duidingsklassen'!$F$4:$F$8),1)</f>
        <v>5</v>
      </c>
    </row>
    <row r="5" spans="2:8" ht="15.75" thickBot="1" x14ac:dyDescent="0.3">
      <c r="G5" s="2" t="s">
        <v>75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90</v>
      </c>
      <c r="G6" s="35" t="s">
        <v>91</v>
      </c>
      <c r="H6" s="35" t="s">
        <v>92</v>
      </c>
    </row>
    <row r="7" spans="2:8" x14ac:dyDescent="0.25">
      <c r="B7" s="40" t="s">
        <v>79</v>
      </c>
      <c r="C7" s="29" t="str">
        <f ca="1">STPH!C4</f>
        <v>GR</v>
      </c>
      <c r="D7" s="25">
        <f ca="1">STPH!C5</f>
        <v>8.3945236884950633E-2</v>
      </c>
      <c r="E7" s="49">
        <v>1E-4</v>
      </c>
      <c r="G7" s="1">
        <f>IF(ISNUMBER(E7),1-E7,1-C7)</f>
        <v>0.99990000000000001</v>
      </c>
      <c r="H7" s="1">
        <f>IF(ISNUMBER(E7),1-E7,1-D7)</f>
        <v>0.99990000000000001</v>
      </c>
    </row>
    <row r="8" spans="2:8" x14ac:dyDescent="0.25">
      <c r="B8" s="40" t="s">
        <v>80</v>
      </c>
      <c r="C8" s="31">
        <f ca="1">STBI!C4</f>
        <v>3.4717735983891829E-3</v>
      </c>
      <c r="D8" s="26">
        <f ca="1">STBI!C5</f>
        <v>3.4717735983891829E-3</v>
      </c>
      <c r="E8" s="49"/>
      <c r="G8" s="1">
        <f t="shared" ref="G8:G15" ca="1" si="0">IF(ISNUMBER(E8),1-E8,1-C8)</f>
        <v>0.99652822640161087</v>
      </c>
      <c r="H8" s="1">
        <f t="shared" ref="H8:H15" ca="1" si="1">IF(ISNUMBER(E8),1-E8,1-D8)</f>
        <v>0.99652822640161087</v>
      </c>
    </row>
    <row r="9" spans="2:8" x14ac:dyDescent="0.25">
      <c r="B9" s="40" t="s">
        <v>81</v>
      </c>
      <c r="C9" s="31">
        <f ca="1">DEBU!C4</f>
        <v>3.4189721189900385E-3</v>
      </c>
      <c r="D9" s="26">
        <f ca="1">DEBU!C5</f>
        <v>3.4189721189900385E-3</v>
      </c>
      <c r="E9" s="49"/>
      <c r="G9" s="1">
        <f t="shared" ca="1" si="0"/>
        <v>0.99658102788101</v>
      </c>
      <c r="H9" s="1">
        <f t="shared" ca="1" si="1"/>
        <v>0.99658102788101</v>
      </c>
    </row>
    <row r="10" spans="2:8" x14ac:dyDescent="0.25">
      <c r="B10" s="40" t="s">
        <v>82</v>
      </c>
      <c r="C10" s="31">
        <f>GEKB!C4</f>
        <v>8.2112895527931551E-3</v>
      </c>
      <c r="D10" s="26">
        <f>GEKB!C5</f>
        <v>8.2112895527931551E-3</v>
      </c>
      <c r="E10" s="49"/>
      <c r="G10" s="1">
        <f t="shared" si="0"/>
        <v>0.99178871044720684</v>
      </c>
      <c r="H10" s="1">
        <f t="shared" si="1"/>
        <v>0.99178871044720684</v>
      </c>
    </row>
    <row r="11" spans="2:8" x14ac:dyDescent="0.25">
      <c r="B11" s="40" t="s">
        <v>83</v>
      </c>
      <c r="C11" s="31">
        <f>DA!C4</f>
        <v>0</v>
      </c>
      <c r="D11" s="26">
        <f>DA!C5</f>
        <v>0</v>
      </c>
      <c r="E11" s="49"/>
      <c r="G11" s="1">
        <f t="shared" si="0"/>
        <v>1</v>
      </c>
      <c r="H11" s="1">
        <f t="shared" si="1"/>
        <v>1</v>
      </c>
    </row>
    <row r="12" spans="2:8" x14ac:dyDescent="0.25">
      <c r="B12" s="40" t="s">
        <v>84</v>
      </c>
      <c r="C12" s="31">
        <f>STKWp!C4</f>
        <v>5.1669751369054495E-5</v>
      </c>
      <c r="D12" s="26">
        <f>STKWp!C5</f>
        <v>5.1669751369054495E-5</v>
      </c>
      <c r="E12" s="49">
        <v>1E-10</v>
      </c>
      <c r="G12" s="1">
        <f t="shared" si="0"/>
        <v>0.99999999989999999</v>
      </c>
      <c r="H12" s="1">
        <f t="shared" si="1"/>
        <v>0.99999999989999999</v>
      </c>
    </row>
    <row r="13" spans="2:8" x14ac:dyDescent="0.25">
      <c r="B13" s="40" t="s">
        <v>85</v>
      </c>
      <c r="C13" s="31">
        <f>HTKW!C4</f>
        <v>4.74E-5</v>
      </c>
      <c r="D13" s="26">
        <f>HTKW!C5</f>
        <v>4.74E-5</v>
      </c>
      <c r="E13" s="49">
        <v>2E-8</v>
      </c>
      <c r="G13" s="1">
        <f t="shared" si="0"/>
        <v>0.99999998000000001</v>
      </c>
      <c r="H13" s="1">
        <f t="shared" si="1"/>
        <v>0.99999998000000001</v>
      </c>
    </row>
    <row r="14" spans="2:8" x14ac:dyDescent="0.25">
      <c r="B14" s="40" t="s">
        <v>86</v>
      </c>
      <c r="C14" s="31">
        <f ca="1">'Nieuw faalpad met lengte-effect'!C4</f>
        <v>7.5300000000000003E-9</v>
      </c>
      <c r="D14" s="26">
        <f ca="1">'Nieuw faalpad met lengte-effect'!C5</f>
        <v>7.5300000000000003E-9</v>
      </c>
      <c r="E14" s="49"/>
      <c r="G14" s="1">
        <f t="shared" ca="1" si="0"/>
        <v>0.99999999247000004</v>
      </c>
      <c r="H14" s="1">
        <f t="shared" ca="1" si="1"/>
        <v>0.99999999247000004</v>
      </c>
    </row>
    <row r="15" spans="2:8" ht="15.75" thickBot="1" x14ac:dyDescent="0.3">
      <c r="B15" s="41" t="s">
        <v>87</v>
      </c>
      <c r="C15" s="33" t="str">
        <f>'Nieuw faalpad zonder lengte-eff'!C4</f>
        <v>GR</v>
      </c>
      <c r="D15" s="27">
        <f>'Nieuw faalpad zonder lengte-eff'!C5</f>
        <v>0</v>
      </c>
      <c r="E15" s="51">
        <v>5.1499999999999998E-8</v>
      </c>
      <c r="G15" s="1">
        <f t="shared" si="0"/>
        <v>0.99999994849999996</v>
      </c>
      <c r="H15" s="1">
        <f t="shared" si="1"/>
        <v>0.99999994849999996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Informatiepagina</vt:lpstr>
      <vt:lpstr>Normen en duidingsklassen</vt:lpstr>
      <vt:lpstr>STPH</vt:lpstr>
      <vt:lpstr>STBI</vt:lpstr>
      <vt:lpstr>DEBU</vt:lpstr>
      <vt:lpstr>GEKB</vt:lpstr>
      <vt:lpstr>DA</vt:lpstr>
      <vt:lpstr>STKWp</vt:lpstr>
      <vt:lpstr>HTKW</vt:lpstr>
      <vt:lpstr>Nieuw faalpad met lengte-effect</vt:lpstr>
      <vt:lpstr>Nieuw faalpad zonder lengte-eff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2021-11-16T17:06:52Z</dcterms:modified>
</cp:coreProperties>
</file>