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B53F4665-9339-48BC-9D09-A0489BF5C582}" xr6:coauthVersionLast="41" xr6:coauthVersionMax="41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7" l="1" a="1"/>
  <c r="G3" i="7" s="1"/>
  <c r="G2" i="7" a="1"/>
  <c r="G2" i="7" s="1"/>
  <c r="D2" i="7" l="1"/>
  <c r="D3" i="7"/>
  <c r="D13" i="7"/>
  <c r="C13" i="7"/>
  <c r="T22" i="14" l="1"/>
  <c r="Q22" i="14" a="1"/>
  <c r="Q22" i="14" s="1"/>
  <c r="R22" i="14" s="1"/>
  <c r="S22" i="14" s="1"/>
  <c r="O22" i="14"/>
  <c r="P22" i="14" s="1"/>
  <c r="N22" i="14"/>
  <c r="M22" i="14"/>
  <c r="T21" i="14"/>
  <c r="Q21" i="14"/>
  <c r="R21" i="14" s="1"/>
  <c r="S21" i="14" s="1"/>
  <c r="Q21" i="14" a="1"/>
  <c r="O21" i="14"/>
  <c r="P21" i="14" s="1"/>
  <c r="M21" i="14"/>
  <c r="N21" i="14" s="1"/>
  <c r="T20" i="14"/>
  <c r="Q20" i="14" a="1"/>
  <c r="Q20" i="14" s="1"/>
  <c r="R20" i="14" s="1"/>
  <c r="S20" i="14" s="1"/>
  <c r="P20" i="14"/>
  <c r="O20" i="14"/>
  <c r="N20" i="14"/>
  <c r="M20" i="14"/>
  <c r="T19" i="14"/>
  <c r="Q19" i="14" a="1"/>
  <c r="Q19" i="14" s="1"/>
  <c r="R19" i="14" s="1"/>
  <c r="S19" i="14" s="1"/>
  <c r="P19" i="14"/>
  <c r="O19" i="14"/>
  <c r="N19" i="14"/>
  <c r="M19" i="14"/>
  <c r="T18" i="14"/>
  <c r="Q18" i="14"/>
  <c r="R18" i="14" s="1"/>
  <c r="S18" i="14" s="1"/>
  <c r="Q18" i="14" a="1"/>
  <c r="P18" i="14"/>
  <c r="O18" i="14"/>
  <c r="M18" i="14"/>
  <c r="N18" i="14" s="1"/>
  <c r="T17" i="14"/>
  <c r="Q17" i="14" a="1"/>
  <c r="Q17" i="14" s="1"/>
  <c r="R17" i="14" s="1"/>
  <c r="S17" i="14" s="1"/>
  <c r="O17" i="14"/>
  <c r="P17" i="14" s="1"/>
  <c r="N17" i="14"/>
  <c r="M17" i="14"/>
  <c r="T16" i="14"/>
  <c r="Q16" i="14" a="1"/>
  <c r="Q16" i="14" s="1"/>
  <c r="R16" i="14" s="1"/>
  <c r="S16" i="14" s="1"/>
  <c r="O16" i="14"/>
  <c r="P16" i="14" s="1"/>
  <c r="M16" i="14"/>
  <c r="N16" i="14" s="1"/>
  <c r="T15" i="14"/>
  <c r="Q15" i="14"/>
  <c r="R15" i="14" s="1"/>
  <c r="S15" i="14" s="1"/>
  <c r="Q15" i="14" a="1"/>
  <c r="P15" i="14"/>
  <c r="O15" i="14"/>
  <c r="M15" i="14"/>
  <c r="N15" i="14" s="1"/>
  <c r="T14" i="14"/>
  <c r="Q14" i="14" a="1"/>
  <c r="Q14" i="14" s="1"/>
  <c r="R14" i="14" s="1"/>
  <c r="S14" i="14" s="1"/>
  <c r="O14" i="14"/>
  <c r="P14" i="14" s="1"/>
  <c r="N14" i="14"/>
  <c r="M14" i="14"/>
  <c r="T13" i="14"/>
  <c r="Q13" i="14"/>
  <c r="R13" i="14" s="1"/>
  <c r="S13" i="14" s="1"/>
  <c r="Q13" i="14" a="1"/>
  <c r="O13" i="14"/>
  <c r="P13" i="14" s="1"/>
  <c r="M13" i="14"/>
  <c r="N13" i="14" s="1"/>
  <c r="T12" i="14"/>
  <c r="Q12" i="14" a="1"/>
  <c r="Q12" i="14" s="1"/>
  <c r="R12" i="14" s="1"/>
  <c r="S12" i="14" s="1"/>
  <c r="P12" i="14"/>
  <c r="O12" i="14"/>
  <c r="N12" i="14"/>
  <c r="M12" i="14"/>
  <c r="R11" i="14"/>
  <c r="Q11" i="14" a="1"/>
  <c r="Q11" i="14" s="1"/>
  <c r="F3" i="8" l="1" a="1"/>
  <c r="F3" i="8" s="1"/>
  <c r="G3" i="8" a="1"/>
  <c r="G3" i="8" s="1"/>
  <c r="J3" i="8" a="1"/>
  <c r="J3" i="8" s="1"/>
  <c r="L3" i="8" a="1"/>
  <c r="L3" i="8" s="1"/>
  <c r="K22" i="9"/>
  <c r="K21" i="9"/>
  <c r="K20" i="9"/>
  <c r="K19" i="9"/>
  <c r="K18" i="9"/>
  <c r="K17" i="9"/>
  <c r="K16" i="9"/>
  <c r="K15" i="9"/>
  <c r="K14" i="9"/>
  <c r="K13" i="9"/>
  <c r="K12" i="9"/>
  <c r="K11" i="9"/>
  <c r="K22" i="14"/>
  <c r="K21" i="14"/>
  <c r="K20" i="14"/>
  <c r="K19" i="14"/>
  <c r="K18" i="14"/>
  <c r="K17" i="14"/>
  <c r="K16" i="14"/>
  <c r="K15" i="14"/>
  <c r="K14" i="14"/>
  <c r="K13" i="14"/>
  <c r="K12" i="14"/>
  <c r="K11" i="14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11" i="5"/>
  <c r="O22" i="3"/>
  <c r="O21" i="3"/>
  <c r="O20" i="3"/>
  <c r="O19" i="3"/>
  <c r="O18" i="3"/>
  <c r="O17" i="3"/>
  <c r="O16" i="3"/>
  <c r="O15" i="3"/>
  <c r="O14" i="3"/>
  <c r="O13" i="3"/>
  <c r="O12" i="3"/>
  <c r="O11" i="3"/>
  <c r="O11" i="2"/>
  <c r="O22" i="2"/>
  <c r="O21" i="2"/>
  <c r="O20" i="2"/>
  <c r="O19" i="2"/>
  <c r="O18" i="2"/>
  <c r="O17" i="2"/>
  <c r="O15" i="2"/>
  <c r="O14" i="2"/>
  <c r="O13" i="2"/>
  <c r="O12" i="2"/>
  <c r="O16" i="2"/>
  <c r="E17" i="13" l="1"/>
  <c r="E18" i="13" l="1"/>
  <c r="E16" i="13"/>
  <c r="E15" i="13"/>
  <c r="E14" i="13"/>
  <c r="E13" i="13"/>
  <c r="Q22" i="9" l="1" a="1"/>
  <c r="Q22" i="9" s="1"/>
  <c r="R22" i="9" s="1"/>
  <c r="Q21" i="9" a="1"/>
  <c r="Q21" i="9" s="1"/>
  <c r="R21" i="9" s="1"/>
  <c r="Q20" i="9" a="1"/>
  <c r="Q20" i="9" s="1"/>
  <c r="R20" i="9" s="1"/>
  <c r="Q19" i="9" a="1"/>
  <c r="Q19" i="9" s="1"/>
  <c r="R19" i="9" s="1"/>
  <c r="Q18" i="9" a="1"/>
  <c r="Q18" i="9" s="1"/>
  <c r="R18" i="9" s="1"/>
  <c r="Q17" i="9" a="1"/>
  <c r="Q17" i="9" s="1"/>
  <c r="R17" i="9" s="1"/>
  <c r="Q16" i="9" a="1"/>
  <c r="Q16" i="9" s="1"/>
  <c r="R16" i="9" s="1"/>
  <c r="Q15" i="9" a="1"/>
  <c r="Q15" i="9" s="1"/>
  <c r="R15" i="9" s="1"/>
  <c r="Q14" i="9" a="1"/>
  <c r="Q14" i="9" s="1"/>
  <c r="R14" i="9" s="1"/>
  <c r="Q13" i="9" a="1"/>
  <c r="Q13" i="9" s="1"/>
  <c r="R13" i="9" s="1"/>
  <c r="Q12" i="9" a="1"/>
  <c r="Q12" i="9" s="1"/>
  <c r="R12" i="9" s="1"/>
  <c r="Q11" i="9" a="1"/>
  <c r="Q11" i="9" s="1"/>
  <c r="R11" i="9" s="1"/>
  <c r="J22" i="9"/>
  <c r="J21" i="9"/>
  <c r="J20" i="9"/>
  <c r="J19" i="9"/>
  <c r="J18" i="9"/>
  <c r="J17" i="9"/>
  <c r="J16" i="9"/>
  <c r="J15" i="9"/>
  <c r="J14" i="9"/>
  <c r="J13" i="9"/>
  <c r="J12" i="9"/>
  <c r="J11" i="9"/>
  <c r="J22" i="10"/>
  <c r="J21" i="10"/>
  <c r="Q21" i="10" s="1" a="1"/>
  <c r="Q21" i="10" s="1"/>
  <c r="R21" i="10" s="1"/>
  <c r="J20" i="10"/>
  <c r="J19" i="10"/>
  <c r="J18" i="10"/>
  <c r="J17" i="10"/>
  <c r="J16" i="10"/>
  <c r="J15" i="10"/>
  <c r="Q15" i="10" s="1" a="1"/>
  <c r="Q15" i="10" s="1"/>
  <c r="R15" i="10" s="1"/>
  <c r="J14" i="10"/>
  <c r="J13" i="10"/>
  <c r="Q13" i="10" s="1" a="1"/>
  <c r="Q13" i="10" s="1"/>
  <c r="R13" i="10" s="1"/>
  <c r="J12" i="10"/>
  <c r="J11" i="10"/>
  <c r="J22" i="14"/>
  <c r="J21" i="14"/>
  <c r="J20" i="14"/>
  <c r="J18" i="14"/>
  <c r="J17" i="14"/>
  <c r="J16" i="14"/>
  <c r="J15" i="14"/>
  <c r="J14" i="14"/>
  <c r="J13" i="14"/>
  <c r="J12" i="14"/>
  <c r="J11" i="14"/>
  <c r="J19" i="14"/>
  <c r="Q22" i="10" a="1"/>
  <c r="Q22" i="10" s="1"/>
  <c r="R22" i="10" s="1"/>
  <c r="Q20" i="10" a="1"/>
  <c r="Q20" i="10" s="1"/>
  <c r="R20" i="10" s="1"/>
  <c r="Q19" i="10" a="1"/>
  <c r="Q19" i="10" s="1"/>
  <c r="R19" i="10" s="1"/>
  <c r="Q18" i="10" a="1"/>
  <c r="Q18" i="10" s="1"/>
  <c r="R18" i="10" s="1"/>
  <c r="Q17" i="10" a="1"/>
  <c r="Q17" i="10" s="1"/>
  <c r="R17" i="10" s="1"/>
  <c r="Q16" i="10" a="1"/>
  <c r="Q16" i="10" s="1"/>
  <c r="R16" i="10" s="1"/>
  <c r="Q14" i="10" a="1"/>
  <c r="Q14" i="10" s="1"/>
  <c r="R14" i="10" s="1"/>
  <c r="Q12" i="10" a="1"/>
  <c r="Q12" i="10" s="1"/>
  <c r="R12" i="10" s="1"/>
  <c r="Q11" i="10" a="1"/>
  <c r="Q11" i="10" s="1"/>
  <c r="R11" i="10" s="1"/>
  <c r="U22" i="3" l="1" a="1"/>
  <c r="U22" i="3" s="1"/>
  <c r="V22" i="3" s="1"/>
  <c r="U21" i="3" a="1"/>
  <c r="U21" i="3" s="1"/>
  <c r="V21" i="3" s="1"/>
  <c r="U19" i="3" a="1"/>
  <c r="U19" i="3" s="1"/>
  <c r="V19" i="3" s="1"/>
  <c r="U18" i="3" a="1"/>
  <c r="U18" i="3" s="1"/>
  <c r="V18" i="3" s="1"/>
  <c r="U17" i="3" a="1"/>
  <c r="U17" i="3" s="1"/>
  <c r="V17" i="3" s="1"/>
  <c r="U16" i="3" a="1"/>
  <c r="U16" i="3" s="1"/>
  <c r="V16" i="3" s="1"/>
  <c r="U15" i="3" a="1"/>
  <c r="U15" i="3" s="1"/>
  <c r="V15" i="3" s="1"/>
  <c r="U14" i="3" a="1"/>
  <c r="U14" i="3" s="1"/>
  <c r="V14" i="3" s="1"/>
  <c r="U13" i="3" a="1"/>
  <c r="U13" i="3" s="1"/>
  <c r="V13" i="3" s="1"/>
  <c r="U12" i="3" a="1"/>
  <c r="U12" i="3" s="1"/>
  <c r="V12" i="3" s="1"/>
  <c r="U11" i="3" a="1"/>
  <c r="U11" i="3" s="1"/>
  <c r="V11" i="3" s="1"/>
  <c r="U11" i="2" a="1"/>
  <c r="U11" i="2" s="1"/>
  <c r="V11" i="2" s="1"/>
  <c r="U22" i="2" a="1"/>
  <c r="U22" i="2" s="1"/>
  <c r="V22" i="2" s="1"/>
  <c r="U21" i="2" a="1"/>
  <c r="U21" i="2" s="1"/>
  <c r="V21" i="2" s="1"/>
  <c r="U20" i="2" a="1"/>
  <c r="U20" i="2" s="1"/>
  <c r="V20" i="2" s="1"/>
  <c r="U19" i="2" a="1"/>
  <c r="U19" i="2" s="1"/>
  <c r="V19" i="2" s="1"/>
  <c r="U18" i="2" a="1"/>
  <c r="U18" i="2" s="1"/>
  <c r="V18" i="2" s="1"/>
  <c r="U17" i="2" a="1"/>
  <c r="U17" i="2" s="1"/>
  <c r="V17" i="2" s="1"/>
  <c r="U16" i="2" a="1"/>
  <c r="U16" i="2" s="1"/>
  <c r="V16" i="2" s="1"/>
  <c r="U15" i="2" a="1"/>
  <c r="U15" i="2" s="1"/>
  <c r="V15" i="2" s="1"/>
  <c r="U14" i="2" a="1"/>
  <c r="U14" i="2" s="1"/>
  <c r="V14" i="2" s="1"/>
  <c r="U13" i="2" a="1"/>
  <c r="U13" i="2" s="1"/>
  <c r="V13" i="2" s="1"/>
  <c r="U12" i="2" a="1"/>
  <c r="U12" i="2" s="1"/>
  <c r="V12" i="2" s="1"/>
  <c r="H22" i="2"/>
  <c r="M22" i="2" s="1"/>
  <c r="H21" i="2"/>
  <c r="H20" i="2"/>
  <c r="H19" i="2"/>
  <c r="H12" i="2"/>
  <c r="H14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22" i="3"/>
  <c r="L22" i="3"/>
  <c r="M21" i="3"/>
  <c r="L21" i="3"/>
  <c r="M20" i="3"/>
  <c r="U20" i="3" s="1" a="1"/>
  <c r="U20" i="3" s="1"/>
  <c r="V20" i="3" s="1"/>
  <c r="L20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L19" i="3"/>
  <c r="M19" i="3"/>
  <c r="H18" i="3"/>
  <c r="H21" i="3"/>
  <c r="H22" i="3"/>
  <c r="H17" i="3"/>
  <c r="E7" i="13"/>
  <c r="B4" i="13"/>
  <c r="T11" i="14" l="1"/>
  <c r="O11" i="14"/>
  <c r="P11" i="14" s="1"/>
  <c r="M11" i="14"/>
  <c r="N11" i="14" s="1"/>
  <c r="M13" i="9"/>
  <c r="N13" i="9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 s="1"/>
  <c r="O21" i="9"/>
  <c r="P21" i="9" s="1"/>
  <c r="T21" i="9"/>
  <c r="M22" i="9"/>
  <c r="N22" i="9" s="1"/>
  <c r="O22" i="9"/>
  <c r="P22" i="9" s="1"/>
  <c r="T22" i="9"/>
  <c r="O13" i="10"/>
  <c r="O19" i="10"/>
  <c r="M21" i="10"/>
  <c r="M13" i="10"/>
  <c r="T13" i="10"/>
  <c r="T14" i="10"/>
  <c r="T15" i="10"/>
  <c r="T16" i="10"/>
  <c r="M17" i="10"/>
  <c r="O17" i="10"/>
  <c r="T17" i="10"/>
  <c r="T18" i="10"/>
  <c r="T19" i="10"/>
  <c r="M20" i="10"/>
  <c r="N20" i="10" s="1"/>
  <c r="O20" i="10"/>
  <c r="P20" i="10" s="1"/>
  <c r="T20" i="10"/>
  <c r="T21" i="10"/>
  <c r="M22" i="10"/>
  <c r="N22" i="10" s="1"/>
  <c r="O22" i="10"/>
  <c r="P22" i="10" s="1"/>
  <c r="T22" i="10"/>
  <c r="O21" i="10" l="1"/>
  <c r="P21" i="10" s="1"/>
  <c r="M19" i="10"/>
  <c r="N19" i="10" s="1"/>
  <c r="O15" i="10"/>
  <c r="P15" i="10" s="1"/>
  <c r="M15" i="10"/>
  <c r="N15" i="10" s="1"/>
  <c r="N21" i="10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9" l="1"/>
  <c r="O11" i="10"/>
  <c r="O11" i="6"/>
  <c r="T12" i="9"/>
  <c r="O12" i="9"/>
  <c r="T11" i="9"/>
  <c r="M11" i="9"/>
  <c r="T12" i="10"/>
  <c r="T11" i="10"/>
  <c r="O12" i="10" l="1"/>
  <c r="P12" i="10" s="1"/>
  <c r="P11" i="9"/>
  <c r="M12" i="9"/>
  <c r="P12" i="9"/>
  <c r="N11" i="9"/>
  <c r="M12" i="10"/>
  <c r="N12" i="10" s="1"/>
  <c r="M11" i="10"/>
  <c r="N11" i="10" s="1"/>
  <c r="P11" i="10"/>
  <c r="T11" i="5"/>
  <c r="J11" i="5"/>
  <c r="O11" i="5" s="1"/>
  <c r="C5" i="9" l="1"/>
  <c r="C12" i="7" s="1"/>
  <c r="G12" i="7" s="1"/>
  <c r="N12" i="9"/>
  <c r="C6" i="9" s="1"/>
  <c r="D12" i="7" s="1"/>
  <c r="H12" i="7" s="1"/>
  <c r="C7" i="10"/>
  <c r="C6" i="10"/>
  <c r="D11" i="7" s="1"/>
  <c r="H11" i="7" s="1"/>
  <c r="C5" i="10"/>
  <c r="C11" i="7" s="1"/>
  <c r="G11" i="7" s="1"/>
  <c r="T11" i="6"/>
  <c r="P11" i="6"/>
  <c r="M11" i="6"/>
  <c r="P11" i="5"/>
  <c r="X22" i="3"/>
  <c r="X20" i="3"/>
  <c r="X19" i="3"/>
  <c r="S19" i="3"/>
  <c r="X17" i="3"/>
  <c r="X16" i="3"/>
  <c r="Q16" i="3"/>
  <c r="R16" i="3" s="1"/>
  <c r="S16" i="3"/>
  <c r="X15" i="3"/>
  <c r="S15" i="3"/>
  <c r="X14" i="3"/>
  <c r="S14" i="3"/>
  <c r="X13" i="3"/>
  <c r="S13" i="3"/>
  <c r="X12" i="3"/>
  <c r="Q12" i="3"/>
  <c r="X20" i="2"/>
  <c r="X19" i="2"/>
  <c r="X16" i="2"/>
  <c r="X15" i="2"/>
  <c r="X14" i="2"/>
  <c r="X13" i="2"/>
  <c r="X12" i="2"/>
  <c r="N12" i="3" l="1"/>
  <c r="S12" i="3"/>
  <c r="R12" i="3"/>
  <c r="G13" i="7"/>
  <c r="T16" i="3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21" i="3"/>
  <c r="Q22" i="3"/>
  <c r="R22" i="3" s="1"/>
  <c r="X11" i="3"/>
  <c r="T19" i="3"/>
  <c r="T13" i="3"/>
  <c r="T14" i="3"/>
  <c r="Q11" i="3"/>
  <c r="T15" i="3"/>
  <c r="S18" i="3"/>
  <c r="X18" i="3"/>
  <c r="T12" i="3"/>
  <c r="N16" i="3"/>
  <c r="S17" i="3"/>
  <c r="Q20" i="3"/>
  <c r="R20" i="3" s="1"/>
  <c r="S11" i="3"/>
  <c r="S12" i="2"/>
  <c r="S20" i="10" l="1"/>
  <c r="S11" i="14"/>
  <c r="S13" i="9"/>
  <c r="S19" i="9"/>
  <c r="S16" i="9"/>
  <c r="S22" i="10"/>
  <c r="S15" i="9"/>
  <c r="S18" i="9"/>
  <c r="S22" i="9"/>
  <c r="S13" i="10"/>
  <c r="S20" i="9"/>
  <c r="S21" i="9"/>
  <c r="S21" i="10"/>
  <c r="S14" i="10"/>
  <c r="S14" i="9"/>
  <c r="S17" i="9"/>
  <c r="S17" i="10"/>
  <c r="S18" i="10"/>
  <c r="S19" i="10"/>
  <c r="S16" i="10"/>
  <c r="S15" i="10"/>
  <c r="S11" i="10"/>
  <c r="S11" i="9"/>
  <c r="S12" i="9"/>
  <c r="S12" i="10"/>
  <c r="N12" i="2"/>
  <c r="H13" i="7"/>
  <c r="S20" i="3"/>
  <c r="T20" i="3" s="1"/>
  <c r="S22" i="3"/>
  <c r="T22" i="3" s="1"/>
  <c r="W11" i="3"/>
  <c r="W12" i="3"/>
  <c r="Q11" i="6" a="1"/>
  <c r="Q11" i="6" s="1"/>
  <c r="R11" i="6" s="1"/>
  <c r="S11" i="6" s="1"/>
  <c r="W16" i="3"/>
  <c r="W20" i="3"/>
  <c r="C7" i="6"/>
  <c r="C6" i="6"/>
  <c r="D10" i="7" s="1"/>
  <c r="H10" i="7" s="1"/>
  <c r="Q11" i="5" a="1"/>
  <c r="Q11" i="5" s="1"/>
  <c r="R11" i="5" s="1"/>
  <c r="S11" i="5" s="1"/>
  <c r="N20" i="3"/>
  <c r="W22" i="3"/>
  <c r="W21" i="3"/>
  <c r="N22" i="3"/>
  <c r="Q14" i="3"/>
  <c r="R14" i="3" s="1"/>
  <c r="W14" i="3"/>
  <c r="N14" i="3"/>
  <c r="Q15" i="3"/>
  <c r="R15" i="3" s="1"/>
  <c r="W15" i="3"/>
  <c r="W19" i="3"/>
  <c r="Q19" i="3"/>
  <c r="R19" i="3" s="1"/>
  <c r="Q13" i="3"/>
  <c r="R13" i="3" s="1"/>
  <c r="W13" i="3"/>
  <c r="N15" i="3"/>
  <c r="N11" i="3"/>
  <c r="T11" i="3"/>
  <c r="R11" i="3"/>
  <c r="N17" i="3"/>
  <c r="T17" i="3"/>
  <c r="N19" i="3"/>
  <c r="W18" i="3"/>
  <c r="Q18" i="3"/>
  <c r="R18" i="3" s="1"/>
  <c r="Q17" i="3"/>
  <c r="R17" i="3" s="1"/>
  <c r="W17" i="3"/>
  <c r="N18" i="3"/>
  <c r="T18" i="3"/>
  <c r="N13" i="3"/>
  <c r="Q12" i="2"/>
  <c r="R12" i="2" s="1"/>
  <c r="T12" i="2"/>
  <c r="S19" i="2"/>
  <c r="S20" i="2"/>
  <c r="S13" i="2"/>
  <c r="S15" i="2"/>
  <c r="S16" i="2"/>
  <c r="S14" i="2"/>
  <c r="X21" i="2"/>
  <c r="X22" i="2"/>
  <c r="X11" i="2"/>
  <c r="X17" i="2"/>
  <c r="X18" i="2"/>
  <c r="J9" i="8" l="1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2" i="8" a="1"/>
  <c r="L12" i="8" s="1"/>
  <c r="L13" i="8" a="1"/>
  <c r="L13" i="8" s="1"/>
  <c r="L10" i="8" a="1"/>
  <c r="L10" i="8" s="1"/>
  <c r="L14" i="8" a="1"/>
  <c r="L14" i="8" s="1"/>
  <c r="J10" i="8" a="1"/>
  <c r="J10" i="8" s="1"/>
  <c r="J11" i="8" a="1"/>
  <c r="J11" i="8" s="1"/>
  <c r="J13" i="8" a="1"/>
  <c r="J13" i="8" s="1"/>
  <c r="J14" i="8" a="1"/>
  <c r="J14" i="8" s="1"/>
  <c r="J12" i="8" a="1"/>
  <c r="J12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4" i="8" a="1"/>
  <c r="K14" i="8" s="1"/>
  <c r="K10" i="8" a="1"/>
  <c r="K10" i="8" s="1"/>
  <c r="K11" i="8" a="1"/>
  <c r="K11" i="8" s="1"/>
  <c r="K12" i="8" a="1"/>
  <c r="K12" i="8" s="1"/>
  <c r="K13" i="8" a="1"/>
  <c r="K13" i="8" s="1"/>
  <c r="K8" i="8" a="1"/>
  <c r="K8" i="8" s="1"/>
  <c r="K9" i="8" a="1"/>
  <c r="K9" i="8" s="1"/>
  <c r="S21" i="3"/>
  <c r="T21" i="3" s="1"/>
  <c r="W12" i="2"/>
  <c r="C6" i="5"/>
  <c r="D9" i="7" s="1"/>
  <c r="H9" i="7" s="1"/>
  <c r="C7" i="5"/>
  <c r="C5" i="5"/>
  <c r="C9" i="7" s="1"/>
  <c r="G9" i="7" s="1"/>
  <c r="N21" i="3"/>
  <c r="Q21" i="3"/>
  <c r="R21" i="3" s="1"/>
  <c r="Q13" i="2"/>
  <c r="R13" i="2" s="1"/>
  <c r="Q19" i="2"/>
  <c r="R19" i="2" s="1"/>
  <c r="Q14" i="2"/>
  <c r="R14" i="2" s="1"/>
  <c r="Q20" i="2"/>
  <c r="R20" i="2" s="1"/>
  <c r="Q16" i="2"/>
  <c r="R16" i="2" s="1"/>
  <c r="Q15" i="2"/>
  <c r="R15" i="2" s="1"/>
  <c r="T15" i="2"/>
  <c r="T20" i="2"/>
  <c r="T13" i="2"/>
  <c r="T19" i="2"/>
  <c r="T14" i="2"/>
  <c r="T16" i="2"/>
  <c r="N15" i="2"/>
  <c r="N20" i="2"/>
  <c r="N16" i="2"/>
  <c r="N13" i="2"/>
  <c r="N14" i="2"/>
  <c r="N19" i="2"/>
  <c r="S21" i="2"/>
  <c r="S22" i="2"/>
  <c r="S18" i="2"/>
  <c r="S17" i="2"/>
  <c r="S11" i="2"/>
  <c r="C7" i="3" l="1"/>
  <c r="C5" i="3"/>
  <c r="C8" i="7" s="1"/>
  <c r="G8" i="7" s="1"/>
  <c r="W16" i="2"/>
  <c r="C6" i="3"/>
  <c r="D8" i="7" s="1"/>
  <c r="H8" i="7" s="1"/>
  <c r="W13" i="2"/>
  <c r="W20" i="2"/>
  <c r="W15" i="2"/>
  <c r="W14" i="2"/>
  <c r="W19" i="2"/>
  <c r="Q18" i="2"/>
  <c r="R18" i="2" s="1"/>
  <c r="Q17" i="2"/>
  <c r="R17" i="2" s="1"/>
  <c r="Q22" i="2"/>
  <c r="R22" i="2" s="1"/>
  <c r="Q21" i="2"/>
  <c r="R21" i="2" s="1"/>
  <c r="Q11" i="2"/>
  <c r="T18" i="2"/>
  <c r="T22" i="2"/>
  <c r="T21" i="2"/>
  <c r="T17" i="2"/>
  <c r="T11" i="2"/>
  <c r="N18" i="2"/>
  <c r="N21" i="2"/>
  <c r="N22" i="2"/>
  <c r="N11" i="2"/>
  <c r="N17" i="2"/>
  <c r="W21" i="2" l="1"/>
  <c r="W17" i="2"/>
  <c r="W18" i="2"/>
  <c r="W22" i="2"/>
  <c r="C5" i="2"/>
  <c r="C7" i="7" s="1"/>
  <c r="R11" i="2"/>
  <c r="H13" i="8" l="1" a="1"/>
  <c r="H13" i="8" s="1"/>
  <c r="H14" i="8" a="1"/>
  <c r="H14" i="8" s="1"/>
  <c r="G7" i="7"/>
  <c r="H2" i="7" s="1"/>
  <c r="E2" i="7" s="1"/>
  <c r="W11" i="2"/>
  <c r="C6" i="2"/>
  <c r="D7" i="7" s="1"/>
  <c r="H7" i="7" s="1"/>
  <c r="C7" i="2"/>
  <c r="H7" i="8" l="1" a="1"/>
  <c r="H7" i="8" s="1"/>
  <c r="H6" i="8" a="1"/>
  <c r="H6" i="8" s="1"/>
  <c r="H8" i="8" a="1"/>
  <c r="H8" i="8" s="1"/>
  <c r="H12" i="8" a="1"/>
  <c r="H12" i="8" s="1"/>
  <c r="H11" i="8" a="1"/>
  <c r="H11" i="8" s="1"/>
  <c r="H9" i="8" a="1"/>
  <c r="H9" i="8" s="1"/>
  <c r="H10" i="8" a="1"/>
  <c r="H10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F14" i="8" a="1"/>
  <c r="F14" i="8" s="1"/>
  <c r="F12" i="8" a="1"/>
  <c r="F12" i="8" s="1"/>
  <c r="F13" i="8" a="1"/>
  <c r="F13" i="8" s="1"/>
  <c r="G5" i="8" a="1"/>
  <c r="G5" i="8" s="1"/>
  <c r="G6" i="8" a="1"/>
  <c r="G6" i="8" s="1"/>
  <c r="G13" i="8" a="1"/>
  <c r="G13" i="8" s="1"/>
  <c r="G7" i="8" a="1"/>
  <c r="G7" i="8" s="1"/>
  <c r="G11" i="8" a="1"/>
  <c r="G11" i="8" s="1"/>
  <c r="G12" i="8" a="1"/>
  <c r="G12" i="8" s="1"/>
  <c r="G10" i="8" a="1"/>
  <c r="G10" i="8" s="1"/>
  <c r="G14" i="8" a="1"/>
  <c r="G14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13" i="8" a="1"/>
  <c r="I13" i="8" s="1"/>
  <c r="I14" i="8" a="1"/>
  <c r="I14" i="8" s="1"/>
  <c r="I8" i="8" a="1"/>
  <c r="I8" i="8" s="1"/>
  <c r="I9" i="8" a="1"/>
  <c r="I9" i="8" s="1"/>
  <c r="I3" i="8" a="1"/>
  <c r="I3" i="8" s="1"/>
  <c r="I6" i="8" a="1"/>
  <c r="I6" i="8" s="1"/>
  <c r="I12" i="8" a="1"/>
  <c r="I12" i="8" s="1"/>
  <c r="G4" i="8" a="1"/>
  <c r="G4" i="8" s="1"/>
  <c r="H3" i="7"/>
  <c r="E3" i="7" s="1"/>
  <c r="D9" i="8" l="1"/>
  <c r="E9" i="8"/>
  <c r="D10" i="8"/>
  <c r="E10" i="8"/>
  <c r="D8" i="8"/>
  <c r="E8" i="8"/>
  <c r="E3" i="8"/>
  <c r="D3" i="8"/>
  <c r="E14" i="8"/>
  <c r="D14" i="8"/>
  <c r="E13" i="8"/>
  <c r="D13" i="8"/>
  <c r="D7" i="8"/>
  <c r="E7" i="8"/>
  <c r="E12" i="8"/>
  <c r="D12" i="8"/>
  <c r="E5" i="8"/>
  <c r="D5" i="8"/>
  <c r="E6" i="8"/>
  <c r="D6" i="8"/>
  <c r="E11" i="8"/>
  <c r="D11" i="8"/>
  <c r="E4" i="8"/>
  <c r="D4" i="8"/>
</calcChain>
</file>

<file path=xl/sharedStrings.xml><?xml version="1.0" encoding="utf-8"?>
<sst xmlns="http://schemas.openxmlformats.org/spreadsheetml/2006/main" count="550" uniqueCount="111">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</sst>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83</v>
      </c>
      <c r="C2" s="53" t="s">
        <v>86</v>
      </c>
      <c r="D2" s="53" t="s">
        <v>84</v>
      </c>
      <c r="E2" s="53" t="s">
        <v>94</v>
      </c>
      <c r="F2" s="54" t="s">
        <v>85</v>
      </c>
    </row>
    <row r="3" spans="2:6" x14ac:dyDescent="0.25">
      <c r="B3" s="8" t="s">
        <v>50</v>
      </c>
      <c r="C3" s="9" t="s">
        <v>69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66</v>
      </c>
      <c r="C4" s="9" t="s">
        <v>70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87</v>
      </c>
      <c r="C5" s="9" t="s">
        <v>103</v>
      </c>
      <c r="D5" s="9" t="s">
        <v>21</v>
      </c>
      <c r="E5" s="9" t="s">
        <v>20</v>
      </c>
      <c r="F5" s="12" t="s">
        <v>96</v>
      </c>
    </row>
    <row r="6" spans="2:6" x14ac:dyDescent="0.25">
      <c r="B6" s="8" t="s">
        <v>92</v>
      </c>
      <c r="C6" s="9" t="s">
        <v>97</v>
      </c>
      <c r="D6" s="9" t="s">
        <v>20</v>
      </c>
      <c r="E6" s="9" t="s">
        <v>95</v>
      </c>
      <c r="F6" s="12" t="s">
        <v>21</v>
      </c>
    </row>
    <row r="7" spans="2:6" x14ac:dyDescent="0.25">
      <c r="B7" s="8" t="s">
        <v>88</v>
      </c>
      <c r="C7" s="9" t="s">
        <v>74</v>
      </c>
      <c r="D7" s="9" t="s">
        <v>20</v>
      </c>
      <c r="E7" s="9" t="s">
        <v>95</v>
      </c>
      <c r="F7" s="12" t="s">
        <v>21</v>
      </c>
    </row>
    <row r="8" spans="2:6" x14ac:dyDescent="0.25">
      <c r="B8" s="8" t="s">
        <v>89</v>
      </c>
      <c r="C8" s="9" t="s">
        <v>98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90</v>
      </c>
      <c r="C9" s="9" t="s">
        <v>73</v>
      </c>
      <c r="D9" s="9" t="s">
        <v>20</v>
      </c>
      <c r="E9" s="9" t="s">
        <v>95</v>
      </c>
      <c r="F9" s="12" t="s">
        <v>21</v>
      </c>
    </row>
    <row r="10" spans="2:6" x14ac:dyDescent="0.25">
      <c r="B10" s="8" t="s">
        <v>91</v>
      </c>
      <c r="C10" s="9" t="s">
        <v>93</v>
      </c>
      <c r="D10" s="9" t="s">
        <v>21</v>
      </c>
      <c r="E10" s="9" t="s">
        <v>95</v>
      </c>
      <c r="F10" s="12" t="s">
        <v>21</v>
      </c>
    </row>
    <row r="11" spans="2:6" x14ac:dyDescent="0.25">
      <c r="B11" s="8" t="s">
        <v>68</v>
      </c>
      <c r="C11" s="9" t="s">
        <v>72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99</v>
      </c>
      <c r="C12" s="14" t="s">
        <v>100</v>
      </c>
      <c r="D12" s="14" t="s">
        <v>21</v>
      </c>
      <c r="E12" s="14" t="s">
        <v>21</v>
      </c>
      <c r="F12" s="17" t="s">
        <v>96</v>
      </c>
    </row>
    <row r="14" spans="2:6" ht="15.75" thickBot="1" x14ac:dyDescent="0.3">
      <c r="B14" s="2" t="s">
        <v>51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52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4" sqref="B4"/>
    </sheetView>
  </sheetViews>
  <sheetFormatPr defaultRowHeight="15" x14ac:dyDescent="0.25"/>
  <cols>
    <col min="1" max="1" width="16.42578125" customWidth="1"/>
    <col min="2" max="2" width="8.5703125" bestFit="1" customWidth="1"/>
    <col min="5" max="6" width="11.42578125" bestFit="1" customWidth="1"/>
  </cols>
  <sheetData>
    <row r="2" spans="1:6" ht="15.75" thickBot="1" x14ac:dyDescent="0.3">
      <c r="A2" t="s">
        <v>53</v>
      </c>
      <c r="B2" s="28" t="s">
        <v>107</v>
      </c>
      <c r="D2" s="2" t="s">
        <v>40</v>
      </c>
    </row>
    <row r="3" spans="1:6" ht="15.75" thickBot="1" x14ac:dyDescent="0.3">
      <c r="A3" t="s">
        <v>31</v>
      </c>
      <c r="B3" s="1">
        <v>0</v>
      </c>
      <c r="D3" s="52" t="s">
        <v>38</v>
      </c>
      <c r="E3" s="53" t="s">
        <v>32</v>
      </c>
      <c r="F3" s="54" t="s">
        <v>39</v>
      </c>
    </row>
    <row r="4" spans="1:6" x14ac:dyDescent="0.25">
      <c r="A4" t="s">
        <v>32</v>
      </c>
      <c r="B4" s="1">
        <f>1/10</f>
        <v>0.1</v>
      </c>
      <c r="D4" s="63" t="s">
        <v>33</v>
      </c>
      <c r="E4" s="5">
        <f>1/30*B3</f>
        <v>0</v>
      </c>
      <c r="F4" s="25">
        <v>0</v>
      </c>
    </row>
    <row r="5" spans="1:6" x14ac:dyDescent="0.25">
      <c r="A5" t="s">
        <v>108</v>
      </c>
      <c r="B5" s="9">
        <v>24</v>
      </c>
      <c r="D5" s="64" t="s">
        <v>34</v>
      </c>
      <c r="E5" s="10">
        <f>B3</f>
        <v>0</v>
      </c>
      <c r="F5" s="26">
        <f>E4</f>
        <v>0</v>
      </c>
    </row>
    <row r="6" spans="1:6" x14ac:dyDescent="0.25">
      <c r="D6" s="65" t="s">
        <v>35</v>
      </c>
      <c r="E6" s="10">
        <f>B4</f>
        <v>0.1</v>
      </c>
      <c r="F6" s="26">
        <f>E5</f>
        <v>0</v>
      </c>
    </row>
    <row r="7" spans="1:6" x14ac:dyDescent="0.25">
      <c r="D7" s="66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7" t="s">
        <v>37</v>
      </c>
      <c r="E8" s="15">
        <v>1</v>
      </c>
      <c r="F8" s="27">
        <f>E7</f>
        <v>1</v>
      </c>
    </row>
    <row r="11" spans="1:6" ht="15.75" thickBot="1" x14ac:dyDescent="0.3">
      <c r="D11" s="2" t="s">
        <v>102</v>
      </c>
    </row>
    <row r="12" spans="1:6" ht="15.75" thickBot="1" x14ac:dyDescent="0.3">
      <c r="D12" s="52" t="s">
        <v>101</v>
      </c>
      <c r="E12" s="54" t="s">
        <v>39</v>
      </c>
    </row>
    <row r="13" spans="1:6" x14ac:dyDescent="0.25">
      <c r="D13" s="55" t="s">
        <v>54</v>
      </c>
      <c r="E13" s="26">
        <f>1/1000*B3</f>
        <v>0</v>
      </c>
    </row>
    <row r="14" spans="1:6" x14ac:dyDescent="0.25">
      <c r="D14" s="56" t="s">
        <v>55</v>
      </c>
      <c r="E14" s="26">
        <f>1/100*B3</f>
        <v>0</v>
      </c>
    </row>
    <row r="15" spans="1:6" x14ac:dyDescent="0.25">
      <c r="D15" s="57" t="s">
        <v>56</v>
      </c>
      <c r="E15" s="26">
        <f>1/10*B3</f>
        <v>0</v>
      </c>
    </row>
    <row r="16" spans="1:6" x14ac:dyDescent="0.25">
      <c r="D16" s="58" t="s">
        <v>57</v>
      </c>
      <c r="E16" s="26">
        <f>B3</f>
        <v>0</v>
      </c>
    </row>
    <row r="17" spans="2:5" x14ac:dyDescent="0.25">
      <c r="D17" s="59" t="s">
        <v>58</v>
      </c>
      <c r="E17" s="26">
        <f>B4</f>
        <v>0.1</v>
      </c>
    </row>
    <row r="18" spans="2:5" x14ac:dyDescent="0.25">
      <c r="D18" s="60" t="s">
        <v>59</v>
      </c>
      <c r="E18" s="26">
        <f>10*B4</f>
        <v>1</v>
      </c>
    </row>
    <row r="19" spans="2:5" x14ac:dyDescent="0.25">
      <c r="D19" s="61" t="s">
        <v>60</v>
      </c>
      <c r="E19" s="12">
        <v>1</v>
      </c>
    </row>
    <row r="20" spans="2:5" x14ac:dyDescent="0.25">
      <c r="D20" s="57" t="s">
        <v>37</v>
      </c>
      <c r="E20" s="12"/>
    </row>
    <row r="21" spans="2:5" ht="15.75" thickBot="1" x14ac:dyDescent="0.3">
      <c r="D21" s="62" t="s">
        <v>61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Q11" sqref="Q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50</v>
      </c>
    </row>
    <row r="3" spans="2:25" x14ac:dyDescent="0.25">
      <c r="B3" s="36" t="s">
        <v>44</v>
      </c>
      <c r="C3" s="7">
        <v>28.9</v>
      </c>
    </row>
    <row r="4" spans="2:25" x14ac:dyDescent="0.25">
      <c r="B4" s="40" t="s">
        <v>109</v>
      </c>
      <c r="C4" s="12" t="s">
        <v>20</v>
      </c>
    </row>
    <row r="5" spans="2:25" x14ac:dyDescent="0.25">
      <c r="B5" s="40" t="s">
        <v>47</v>
      </c>
      <c r="C5" s="26" t="str">
        <f>IFERROR(MIN(1-PRODUCT(Q11:Q30),MAX(S11:S30)),"GR")</f>
        <v>GR</v>
      </c>
    </row>
    <row r="6" spans="2:25" x14ac:dyDescent="0.25">
      <c r="B6" s="40" t="s">
        <v>41</v>
      </c>
      <c r="C6" s="26">
        <f>MIN(1-PRODUCT(R11:R30),MAX(T11:T30))</f>
        <v>3.0440911317815011E-3</v>
      </c>
    </row>
    <row r="7" spans="2:25" ht="15.75" thickBot="1" x14ac:dyDescent="0.3">
      <c r="B7" s="41" t="s">
        <v>48</v>
      </c>
      <c r="C7" s="17" t="str">
        <f>IF(1-PRODUCT(R11:R30)&gt;MAX(T11:T30),"Ja","Nee")</f>
        <v>Nee</v>
      </c>
    </row>
    <row r="9" spans="2:25" ht="15.75" thickBot="1" x14ac:dyDescent="0.3">
      <c r="Q9" t="s">
        <v>65</v>
      </c>
    </row>
    <row r="10" spans="2:25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9" t="s">
        <v>64</v>
      </c>
      <c r="Y10" s="35"/>
    </row>
    <row r="11" spans="2:25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25</v>
      </c>
      <c r="G11" s="5"/>
      <c r="H11" s="25"/>
      <c r="I11" s="3" t="s">
        <v>21</v>
      </c>
      <c r="J11" s="5"/>
      <c r="K11" s="25"/>
      <c r="L11" s="29" t="str">
        <f t="shared" ref="L11:L22" si="0">IF($E11="Nee",0,IF(I11="Ja",IF(ISNUMBER(J11),J11,"-"),IF(ISNUMBER(G11),G11,"-")))</f>
        <v>-</v>
      </c>
      <c r="M11" s="5" t="str">
        <f t="shared" ref="M11:M22" si="1">IF($E11="Nee",0,IF(I11="Ja",IF(ISNUMBER(K11),K11,"-"),IF(ISNUMBER(H11),H11,"-")))</f>
        <v>-</v>
      </c>
      <c r="N11" s="6" t="str">
        <f t="shared" ref="N11:N22" si="2">IF(ISNUMBER(L11),IF(M11=0,1,M11/L11),"-")</f>
        <v>-</v>
      </c>
      <c r="O11" s="30" t="str">
        <f>IF(E11="Nee","NR",IF(ISNUMBER($M11),W11,IF($X11,"D","ND")))</f>
        <v>ND</v>
      </c>
      <c r="Q11" s="31">
        <f t="shared" ref="Q11:Q22" si="3">IF(AND(F11="Geen faalkans",I11="Nee"),1,1-M11)</f>
        <v>1</v>
      </c>
      <c r="R11" s="10">
        <f>IF(M11="-",1,Q11)</f>
        <v>1</v>
      </c>
      <c r="S11" s="10">
        <f t="shared" ref="S11:S22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10">
        <v>0</v>
      </c>
      <c r="H12" s="26">
        <f t="shared" ref="H12" si="5">G12*3.66</f>
        <v>0</v>
      </c>
      <c r="I12" s="8" t="s">
        <v>21</v>
      </c>
      <c r="J12" s="10"/>
      <c r="K12" s="26"/>
      <c r="L12" s="31">
        <f t="shared" si="0"/>
        <v>0</v>
      </c>
      <c r="M12" s="10">
        <f t="shared" si="1"/>
        <v>0</v>
      </c>
      <c r="N12" s="11">
        <f t="shared" si="2"/>
        <v>1</v>
      </c>
      <c r="O12" s="32" t="str">
        <f t="shared" ref="O12:O15" si="6">IF(E12="Nee","NR",IF(ISNUMBER($M12),W12,IF($X12,"D","ND")))</f>
        <v>+III</v>
      </c>
      <c r="Q12" s="31">
        <f t="shared" si="3"/>
        <v>1</v>
      </c>
      <c r="R12" s="10">
        <f t="shared" ref="R12:R22" si="7">IF(M12="-",1,Q12)</f>
        <v>1</v>
      </c>
      <c r="S12" s="10">
        <f t="shared" si="4"/>
        <v>0</v>
      </c>
      <c r="T12" s="10">
        <f t="shared" ref="T12:T22" si="8">IF(L12="-",0,S12)</f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ref="X12:X22" si="9">IF($E12="Ja",IF($I12="Ja",NOT(ISNUMBER($J12)),FALSE),FALSE)</f>
        <v>0</v>
      </c>
    </row>
    <row r="13" spans="2:25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10">
        <v>1</v>
      </c>
      <c r="H13" s="26">
        <v>1</v>
      </c>
      <c r="I13" s="8" t="s">
        <v>20</v>
      </c>
      <c r="J13" s="10">
        <v>0</v>
      </c>
      <c r="K13" s="26">
        <v>0</v>
      </c>
      <c r="L13" s="31">
        <f t="shared" si="0"/>
        <v>0</v>
      </c>
      <c r="M13" s="10">
        <f t="shared" si="1"/>
        <v>0</v>
      </c>
      <c r="N13" s="11">
        <f t="shared" si="2"/>
        <v>1</v>
      </c>
      <c r="O13" s="32" t="str">
        <f t="shared" si="6"/>
        <v>+III</v>
      </c>
      <c r="Q13" s="31">
        <f t="shared" si="3"/>
        <v>1</v>
      </c>
      <c r="R13" s="10">
        <f t="shared" si="7"/>
        <v>1</v>
      </c>
      <c r="S13" s="10">
        <f t="shared" si="4"/>
        <v>0</v>
      </c>
      <c r="T13" s="10">
        <f t="shared" si="8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9"/>
        <v>0</v>
      </c>
    </row>
    <row r="14" spans="2:25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26</v>
      </c>
      <c r="G14" s="10">
        <v>0.11</v>
      </c>
      <c r="H14" s="26">
        <f>G14*3.66</f>
        <v>0.40260000000000001</v>
      </c>
      <c r="I14" s="8" t="s">
        <v>20</v>
      </c>
      <c r="J14" s="10"/>
      <c r="K14" s="26"/>
      <c r="L14" s="31" t="str">
        <f t="shared" si="0"/>
        <v>-</v>
      </c>
      <c r="M14" s="10" t="str">
        <f t="shared" si="1"/>
        <v>-</v>
      </c>
      <c r="N14" s="11" t="str">
        <f t="shared" si="2"/>
        <v>-</v>
      </c>
      <c r="O14" s="32" t="str">
        <f t="shared" si="6"/>
        <v>D</v>
      </c>
      <c r="Q14" s="31" t="e">
        <f t="shared" si="3"/>
        <v>#VALUE!</v>
      </c>
      <c r="R14" s="10">
        <f t="shared" si="7"/>
        <v>1</v>
      </c>
      <c r="S14" s="10" t="e">
        <f t="shared" si="4"/>
        <v>#VALUE!</v>
      </c>
      <c r="T14" s="10">
        <f t="shared" si="8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9"/>
        <v>1</v>
      </c>
    </row>
    <row r="15" spans="2:25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26</v>
      </c>
      <c r="G15" s="10">
        <v>1</v>
      </c>
      <c r="H15" s="26">
        <v>1</v>
      </c>
      <c r="I15" s="8" t="s">
        <v>20</v>
      </c>
      <c r="J15" s="10">
        <v>5.0000000000000004E-6</v>
      </c>
      <c r="K15" s="26">
        <v>1.8300000000000001E-5</v>
      </c>
      <c r="L15" s="31">
        <f t="shared" si="0"/>
        <v>5.0000000000000004E-6</v>
      </c>
      <c r="M15" s="10">
        <f t="shared" si="1"/>
        <v>1.8300000000000001E-5</v>
      </c>
      <c r="N15" s="11">
        <f t="shared" si="2"/>
        <v>3.6599999999999997</v>
      </c>
      <c r="O15" s="32" t="str">
        <f t="shared" si="6"/>
        <v>-I</v>
      </c>
      <c r="Q15" s="31">
        <f t="shared" si="3"/>
        <v>0.99998169999999997</v>
      </c>
      <c r="R15" s="10">
        <f t="shared" si="7"/>
        <v>0.99998169999999997</v>
      </c>
      <c r="S15" s="10">
        <f t="shared" si="4"/>
        <v>1.4450000000000002E-4</v>
      </c>
      <c r="T15" s="10">
        <f t="shared" si="8"/>
        <v>1.4450000000000002E-4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duidingsklassen'!$E$13:$E$20,),1)</f>
        <v>5</v>
      </c>
      <c r="W15" s="9" t="str">
        <f>INDEX('Normen en duidingsklassen'!$D$13:$D$20,STPH!V15)</f>
        <v>-I</v>
      </c>
      <c r="X15" s="12" t="b">
        <f t="shared" si="9"/>
        <v>0</v>
      </c>
    </row>
    <row r="16" spans="2:25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>IF(E16="Nee","NR",IF(ISNUMBER($M16),W16,IF($X16,"D","ND")))</f>
        <v>NR</v>
      </c>
      <c r="Q16" s="31">
        <f t="shared" si="3"/>
        <v>1</v>
      </c>
      <c r="R16" s="10">
        <f t="shared" si="7"/>
        <v>1</v>
      </c>
      <c r="S16" s="10">
        <f t="shared" si="4"/>
        <v>0</v>
      </c>
      <c r="T16" s="10">
        <f t="shared" si="8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9"/>
        <v>0</v>
      </c>
    </row>
    <row r="17" spans="2:24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10"/>
      <c r="H17" s="26"/>
      <c r="I17" s="8" t="s">
        <v>21</v>
      </c>
      <c r="J17" s="10"/>
      <c r="K17" s="26"/>
      <c r="L17" s="31">
        <f t="shared" si="0"/>
        <v>0</v>
      </c>
      <c r="M17" s="10">
        <f t="shared" si="1"/>
        <v>0</v>
      </c>
      <c r="N17" s="11">
        <f t="shared" si="2"/>
        <v>1</v>
      </c>
      <c r="O17" s="32" t="str">
        <f t="shared" ref="O17:O22" si="10">IF(E17="Nee","NR",IF(ISNUMBER($M17),W17,IF($X17,"D","ND")))</f>
        <v>NR</v>
      </c>
      <c r="Q17" s="31">
        <f t="shared" si="3"/>
        <v>1</v>
      </c>
      <c r="R17" s="10">
        <f t="shared" si="7"/>
        <v>1</v>
      </c>
      <c r="S17" s="10">
        <f t="shared" si="4"/>
        <v>0</v>
      </c>
      <c r="T17" s="10">
        <f t="shared" si="8"/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9"/>
        <v>0</v>
      </c>
    </row>
    <row r="18" spans="2:24" x14ac:dyDescent="0.25">
      <c r="B18" s="8" t="s">
        <v>15</v>
      </c>
      <c r="C18" s="9">
        <v>14</v>
      </c>
      <c r="D18" s="9">
        <v>16</v>
      </c>
      <c r="E18" s="23" t="s">
        <v>21</v>
      </c>
      <c r="F18" s="8" t="s">
        <v>25</v>
      </c>
      <c r="G18" s="10"/>
      <c r="H18" s="26"/>
      <c r="I18" s="8" t="s">
        <v>21</v>
      </c>
      <c r="J18" s="10"/>
      <c r="K18" s="26"/>
      <c r="L18" s="31">
        <f t="shared" si="0"/>
        <v>0</v>
      </c>
      <c r="M18" s="10">
        <f t="shared" si="1"/>
        <v>0</v>
      </c>
      <c r="N18" s="11">
        <f t="shared" si="2"/>
        <v>1</v>
      </c>
      <c r="O18" s="32" t="str">
        <f t="shared" si="10"/>
        <v>NR</v>
      </c>
      <c r="Q18" s="31">
        <f t="shared" si="3"/>
        <v>1</v>
      </c>
      <c r="R18" s="10">
        <f t="shared" si="7"/>
        <v>1</v>
      </c>
      <c r="S18" s="10">
        <f t="shared" si="4"/>
        <v>0</v>
      </c>
      <c r="T18" s="10">
        <f t="shared" si="8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12" t="b">
        <f t="shared" si="9"/>
        <v>0</v>
      </c>
    </row>
    <row r="19" spans="2:24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10">
        <v>7.27E-4</v>
      </c>
      <c r="H19" s="26">
        <f t="shared" ref="H19:H22" si="11">G19*3.66</f>
        <v>2.6608199999999999E-3</v>
      </c>
      <c r="I19" s="8" t="s">
        <v>21</v>
      </c>
      <c r="J19" s="10"/>
      <c r="K19" s="26"/>
      <c r="L19" s="31">
        <f t="shared" si="0"/>
        <v>7.27E-4</v>
      </c>
      <c r="M19" s="10">
        <f t="shared" si="1"/>
        <v>2.6608199999999999E-3</v>
      </c>
      <c r="N19" s="11">
        <f t="shared" si="2"/>
        <v>3.66</v>
      </c>
      <c r="O19" s="32" t="str">
        <f t="shared" si="10"/>
        <v>-I</v>
      </c>
      <c r="Q19" s="31">
        <f t="shared" si="3"/>
        <v>0.99733917999999999</v>
      </c>
      <c r="R19" s="10">
        <f t="shared" si="7"/>
        <v>0.99733917999999999</v>
      </c>
      <c r="S19" s="10">
        <f t="shared" si="4"/>
        <v>2.1010299999999999E-2</v>
      </c>
      <c r="T19" s="10">
        <f t="shared" si="8"/>
        <v>2.1010299999999999E-2</v>
      </c>
      <c r="U19" s="9">
        <f t="array" ref="U19">MIN(IF('Normen en duidingsklassen'!$E$13:$E$20&gt;=$M19,'Normen en duidingsklassen'!$E$13:$E$20))</f>
        <v>0.1</v>
      </c>
      <c r="V19" s="9">
        <f>IFERROR(MATCH($U19,'Normen en duidingsklassen'!$E$13:$E$20,),1)</f>
        <v>5</v>
      </c>
      <c r="W19" s="9" t="str">
        <f>INDEX('Normen en duidingsklassen'!$D$13:$D$20,STPH!V19)</f>
        <v>-I</v>
      </c>
      <c r="X19" s="12" t="b">
        <f t="shared" si="9"/>
        <v>0</v>
      </c>
    </row>
    <row r="20" spans="2:24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10">
        <v>7.2800000000000002E-4</v>
      </c>
      <c r="H20" s="26">
        <f t="shared" si="11"/>
        <v>2.6644800000000003E-3</v>
      </c>
      <c r="I20" s="8" t="s">
        <v>20</v>
      </c>
      <c r="J20" s="10">
        <v>0</v>
      </c>
      <c r="K20" s="26">
        <v>0</v>
      </c>
      <c r="L20" s="31">
        <f t="shared" si="0"/>
        <v>0</v>
      </c>
      <c r="M20" s="10">
        <f t="shared" si="1"/>
        <v>0</v>
      </c>
      <c r="N20" s="11">
        <f t="shared" si="2"/>
        <v>1</v>
      </c>
      <c r="O20" s="32" t="str">
        <f t="shared" si="10"/>
        <v>+III</v>
      </c>
      <c r="Q20" s="31">
        <f t="shared" si="3"/>
        <v>1</v>
      </c>
      <c r="R20" s="10">
        <f t="shared" si="7"/>
        <v>1</v>
      </c>
      <c r="S20" s="10">
        <f t="shared" si="4"/>
        <v>0</v>
      </c>
      <c r="T20" s="10">
        <f t="shared" si="8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9"/>
        <v>0</v>
      </c>
    </row>
    <row r="21" spans="2:24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10">
        <v>1E-10</v>
      </c>
      <c r="H21" s="26">
        <f t="shared" si="11"/>
        <v>3.6600000000000003E-10</v>
      </c>
      <c r="I21" s="8" t="s">
        <v>21</v>
      </c>
      <c r="J21" s="10"/>
      <c r="K21" s="26"/>
      <c r="L21" s="31">
        <f t="shared" si="0"/>
        <v>1E-10</v>
      </c>
      <c r="M21" s="10">
        <f t="shared" si="1"/>
        <v>3.6600000000000003E-10</v>
      </c>
      <c r="N21" s="11">
        <f t="shared" si="2"/>
        <v>3.66</v>
      </c>
      <c r="O21" s="32" t="str">
        <f t="shared" si="10"/>
        <v>-I</v>
      </c>
      <c r="Q21" s="31">
        <f t="shared" si="3"/>
        <v>0.99999999963399999</v>
      </c>
      <c r="R21" s="10">
        <f t="shared" si="7"/>
        <v>0.99999999963399999</v>
      </c>
      <c r="S21" s="10">
        <f t="shared" si="4"/>
        <v>2.8900000000000002E-9</v>
      </c>
      <c r="T21" s="10">
        <f t="shared" si="8"/>
        <v>2.8900000000000002E-9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duidingsklassen'!$E$13:$E$20,),1)</f>
        <v>5</v>
      </c>
      <c r="W21" s="9" t="str">
        <f>INDEX('Normen en duidingsklassen'!$D$13:$D$20,STPH!V21)</f>
        <v>-I</v>
      </c>
      <c r="X21" s="12" t="b">
        <f t="shared" si="9"/>
        <v>0</v>
      </c>
    </row>
    <row r="22" spans="2:24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10">
        <v>1E-4</v>
      </c>
      <c r="H22" s="26">
        <f t="shared" si="11"/>
        <v>3.6600000000000001E-4</v>
      </c>
      <c r="I22" s="8" t="s">
        <v>21</v>
      </c>
      <c r="J22" s="10"/>
      <c r="K22" s="26"/>
      <c r="L22" s="31">
        <f t="shared" si="0"/>
        <v>1E-4</v>
      </c>
      <c r="M22" s="10">
        <f t="shared" si="1"/>
        <v>3.6600000000000001E-4</v>
      </c>
      <c r="N22" s="11">
        <f t="shared" si="2"/>
        <v>3.6599999999999997</v>
      </c>
      <c r="O22" s="32" t="str">
        <f t="shared" si="10"/>
        <v>-I</v>
      </c>
      <c r="Q22" s="31">
        <f t="shared" si="3"/>
        <v>0.99963400000000002</v>
      </c>
      <c r="R22" s="10">
        <f t="shared" si="7"/>
        <v>0.99963400000000002</v>
      </c>
      <c r="S22" s="10">
        <f t="shared" si="4"/>
        <v>2.8900000000000002E-3</v>
      </c>
      <c r="T22" s="10">
        <f t="shared" si="8"/>
        <v>2.8900000000000002E-3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duidingsklassen'!$E$13:$E$20,),1)</f>
        <v>5</v>
      </c>
      <c r="W22" s="9" t="str">
        <f>INDEX('Normen en duidingsklassen'!$D$13:$D$20,STPH!V22)</f>
        <v>-I</v>
      </c>
      <c r="X22" s="12" t="b">
        <f t="shared" si="9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O11" sqref="O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66</v>
      </c>
    </row>
    <row r="3" spans="2:25" x14ac:dyDescent="0.25">
      <c r="B3" s="36" t="s">
        <v>44</v>
      </c>
      <c r="C3" s="7">
        <v>14.8</v>
      </c>
    </row>
    <row r="4" spans="2:25" x14ac:dyDescent="0.25">
      <c r="B4" s="40" t="s">
        <v>109</v>
      </c>
      <c r="C4" s="12" t="s">
        <v>20</v>
      </c>
    </row>
    <row r="5" spans="2:25" x14ac:dyDescent="0.25">
      <c r="B5" s="40" t="s">
        <v>47</v>
      </c>
      <c r="C5" s="26" t="str">
        <f>IFERROR(MIN(1-PRODUCT(Q11:Q30),MAX(S11:S30)),"GR")</f>
        <v>GR</v>
      </c>
    </row>
    <row r="6" spans="2:25" x14ac:dyDescent="0.25">
      <c r="B6" s="40" t="s">
        <v>41</v>
      </c>
      <c r="C6" s="26">
        <f>MIN(1-PRODUCT(R11:R30),MAX(T11:T30))</f>
        <v>1.1238044587088547E-3</v>
      </c>
    </row>
    <row r="7" spans="2:25" ht="15.75" thickBot="1" x14ac:dyDescent="0.3">
      <c r="B7" s="41" t="s">
        <v>48</v>
      </c>
      <c r="C7" s="17" t="str">
        <f>IF(1-PRODUCT(R11:R30)&gt;MAX(T11:T30),"Ja","Nee")</f>
        <v>Nee</v>
      </c>
    </row>
    <row r="9" spans="2:25" ht="15.75" thickBot="1" x14ac:dyDescent="0.3">
      <c r="Q9" t="s">
        <v>65</v>
      </c>
    </row>
    <row r="10" spans="2:25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9" t="s">
        <v>64</v>
      </c>
      <c r="Y10" s="35"/>
    </row>
    <row r="11" spans="2:25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24</v>
      </c>
      <c r="G11" s="5">
        <v>0</v>
      </c>
      <c r="H11" s="25">
        <v>0</v>
      </c>
      <c r="I11" s="3" t="s">
        <v>21</v>
      </c>
      <c r="J11" s="5"/>
      <c r="K11" s="25"/>
      <c r="L11" s="29">
        <f t="shared" ref="L11:L18" si="0">IF($E11="Nee",0,IF(I11="Ja",IF(ISNUMBER(J11),J11,"-"),IF(ISNUMBER(G11),G11,"-")))</f>
        <v>0</v>
      </c>
      <c r="M11" s="5">
        <f t="shared" ref="M11:M18" si="1">IF($E11="Nee",0,IF(I11="Ja",IF(ISNUMBER(K11),K11,"-"),IF(ISNUMBER(H11),H11,"-")))</f>
        <v>0</v>
      </c>
      <c r="N11" s="6">
        <f t="shared" ref="N11:N22" si="2">IF(ISNUMBER(L11),IF(M11=0,1,M11/L11),"-")</f>
        <v>1</v>
      </c>
      <c r="O11" s="30" t="str">
        <f t="shared" ref="O11:O22" si="3">IF(E11="Nee","NR",IF(ISNUMBER($M11),W11,IF($X11,"D","ND")))</f>
        <v>+III</v>
      </c>
      <c r="Q11" s="31">
        <f t="shared" ref="Q11:Q22" si="4">IF(AND(F11="Geen faalkans",I11="Nee"),1,1-M11)</f>
        <v>1</v>
      </c>
      <c r="R11" s="10">
        <f>IF(M11="-",1,Q11)</f>
        <v>1</v>
      </c>
      <c r="S11" s="10">
        <f t="shared" ref="S11:S22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10">
        <v>2.3699999999999999E-4</v>
      </c>
      <c r="H12" s="26">
        <v>5.4984000000000001E-4</v>
      </c>
      <c r="I12" s="8" t="s">
        <v>21</v>
      </c>
      <c r="J12" s="10"/>
      <c r="K12" s="26"/>
      <c r="L12" s="31">
        <f t="shared" si="0"/>
        <v>2.3699999999999999E-4</v>
      </c>
      <c r="M12" s="10">
        <f t="shared" si="1"/>
        <v>5.4984000000000001E-4</v>
      </c>
      <c r="N12" s="11">
        <f t="shared" si="2"/>
        <v>2.3200000000000003</v>
      </c>
      <c r="O12" s="32" t="str">
        <f t="shared" si="3"/>
        <v>-I</v>
      </c>
      <c r="Q12" s="31">
        <f t="shared" si="4"/>
        <v>0.99945015999999998</v>
      </c>
      <c r="R12" s="10">
        <f t="shared" ref="R12:R22" si="6">IF(M12="-",1,Q12)</f>
        <v>0.99945015999999998</v>
      </c>
      <c r="S12" s="10">
        <f t="shared" si="5"/>
        <v>3.5076E-3</v>
      </c>
      <c r="T12" s="10">
        <f t="shared" ref="T12:T22" si="7">IF(L12="-",0,S12)</f>
        <v>3.5076E-3</v>
      </c>
      <c r="U12" s="9">
        <f t="array" ref="U12">MIN(IF('Normen en duidingsklassen'!$E$13:$E$20&gt;=$M12,'Normen en duidingsklassen'!$E$13:$E$20))</f>
        <v>0.1</v>
      </c>
      <c r="V12" s="9">
        <f>IFERROR(MATCH($U12,'Normen en duidingsklassen'!$E$13:$E$20,0),1)</f>
        <v>5</v>
      </c>
      <c r="W12" s="9" t="str">
        <f>INDEX('Normen en duidingsklassen'!$D$13:$D$20,V12)</f>
        <v>-I</v>
      </c>
      <c r="X12" s="12" t="b">
        <f t="shared" ref="X12:X22" si="8">IF($E12="Ja",IF($I12="Ja",NOT(ISNUMBER($J12)),FALSE),FALSE)</f>
        <v>0</v>
      </c>
    </row>
    <row r="13" spans="2:25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10">
        <v>1E-50</v>
      </c>
      <c r="H13" s="26">
        <v>2.3200000000000003E-50</v>
      </c>
      <c r="I13" s="8" t="s">
        <v>21</v>
      </c>
      <c r="J13" s="10"/>
      <c r="K13" s="26"/>
      <c r="L13" s="31">
        <f t="shared" si="0"/>
        <v>1E-50</v>
      </c>
      <c r="M13" s="10">
        <f t="shared" si="1"/>
        <v>2.3200000000000003E-50</v>
      </c>
      <c r="N13" s="11">
        <f t="shared" si="2"/>
        <v>2.3200000000000003</v>
      </c>
      <c r="O13" s="32" t="str">
        <f t="shared" si="3"/>
        <v>-I</v>
      </c>
      <c r="Q13" s="31">
        <f t="shared" si="4"/>
        <v>1</v>
      </c>
      <c r="R13" s="10">
        <f t="shared" si="6"/>
        <v>1</v>
      </c>
      <c r="S13" s="10">
        <f t="shared" si="5"/>
        <v>1.48E-49</v>
      </c>
      <c r="T13" s="10">
        <f t="shared" si="7"/>
        <v>1.48E-49</v>
      </c>
      <c r="U13" s="9">
        <f t="array" ref="U13">MIN(IF('Normen en duidingsklassen'!$E$13:$E$20&gt;=$M13,'Normen en duidingsklassen'!$E$13:$E$20))</f>
        <v>0.1</v>
      </c>
      <c r="V13" s="9">
        <f>IFERROR(MATCH($U13,'Normen en duidingsklassen'!$E$13:$E$20,0),1)</f>
        <v>5</v>
      </c>
      <c r="W13" s="9" t="str">
        <f>INDEX('Normen en duidingsklassen'!$D$13:$D$20,V13)</f>
        <v>-I</v>
      </c>
      <c r="X13" s="12" t="b">
        <f t="shared" si="8"/>
        <v>0</v>
      </c>
    </row>
    <row r="14" spans="2:25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10"/>
      <c r="H14" s="26"/>
      <c r="I14" s="8" t="s">
        <v>21</v>
      </c>
      <c r="J14" s="10"/>
      <c r="K14" s="26"/>
      <c r="L14" s="31">
        <f t="shared" si="0"/>
        <v>0</v>
      </c>
      <c r="M14" s="10">
        <f t="shared" si="1"/>
        <v>0</v>
      </c>
      <c r="N14" s="11">
        <f t="shared" si="2"/>
        <v>1</v>
      </c>
      <c r="O14" s="32" t="str">
        <f t="shared" si="3"/>
        <v>NR</v>
      </c>
      <c r="Q14" s="31">
        <f t="shared" si="4"/>
        <v>1</v>
      </c>
      <c r="R14" s="10">
        <f t="shared" si="6"/>
        <v>1</v>
      </c>
      <c r="S14" s="10">
        <f t="shared" si="5"/>
        <v>0</v>
      </c>
      <c r="T14" s="10">
        <f t="shared" si="7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8"/>
        <v>0</v>
      </c>
    </row>
    <row r="15" spans="2:25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10">
        <v>2.3751999999999999E-4</v>
      </c>
      <c r="H15" s="26">
        <v>5.5104640000000005E-4</v>
      </c>
      <c r="I15" s="8" t="s">
        <v>21</v>
      </c>
      <c r="J15" s="10"/>
      <c r="K15" s="26"/>
      <c r="L15" s="31">
        <f t="shared" si="0"/>
        <v>2.3751999999999999E-4</v>
      </c>
      <c r="M15" s="10">
        <f t="shared" si="1"/>
        <v>5.5104640000000005E-4</v>
      </c>
      <c r="N15" s="11">
        <f t="shared" si="2"/>
        <v>2.3200000000000003</v>
      </c>
      <c r="O15" s="32" t="str">
        <f t="shared" si="3"/>
        <v>-I</v>
      </c>
      <c r="Q15" s="31">
        <f t="shared" si="4"/>
        <v>0.99944895359999997</v>
      </c>
      <c r="R15" s="10">
        <f t="shared" si="6"/>
        <v>0.99944895359999997</v>
      </c>
      <c r="S15" s="10">
        <f t="shared" si="5"/>
        <v>3.5152960000000002E-3</v>
      </c>
      <c r="T15" s="10">
        <f t="shared" si="7"/>
        <v>3.5152960000000002E-3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duidingsklassen'!$E$13:$E$20,0),1)</f>
        <v>5</v>
      </c>
      <c r="W15" s="9" t="str">
        <f>INDEX('Normen en duidingsklassen'!$D$13:$D$20,V15)</f>
        <v>-I</v>
      </c>
      <c r="X15" s="12" t="b">
        <f t="shared" si="8"/>
        <v>0</v>
      </c>
    </row>
    <row r="16" spans="2:25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 t="shared" si="3"/>
        <v>NR</v>
      </c>
      <c r="Q16" s="31">
        <f t="shared" si="4"/>
        <v>1</v>
      </c>
      <c r="R16" s="10">
        <f t="shared" si="6"/>
        <v>1</v>
      </c>
      <c r="S16" s="10">
        <f t="shared" si="5"/>
        <v>0</v>
      </c>
      <c r="T16" s="10">
        <f t="shared" si="7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8"/>
        <v>0</v>
      </c>
    </row>
    <row r="17" spans="2:24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10">
        <v>0.1</v>
      </c>
      <c r="H17" s="26">
        <f>G17*2.32</f>
        <v>0.23199999999999998</v>
      </c>
      <c r="I17" s="8" t="s">
        <v>20</v>
      </c>
      <c r="J17" s="10">
        <v>1.0000000000000001E-5</v>
      </c>
      <c r="K17" s="26">
        <v>2.3200000000000005E-5</v>
      </c>
      <c r="L17" s="31">
        <f t="shared" si="0"/>
        <v>1.0000000000000001E-5</v>
      </c>
      <c r="M17" s="10">
        <f t="shared" si="1"/>
        <v>2.3200000000000005E-5</v>
      </c>
      <c r="N17" s="11">
        <f t="shared" si="2"/>
        <v>2.3200000000000003</v>
      </c>
      <c r="O17" s="32" t="str">
        <f t="shared" si="3"/>
        <v>-I</v>
      </c>
      <c r="Q17" s="31">
        <f t="shared" si="4"/>
        <v>0.9999768</v>
      </c>
      <c r="R17" s="10">
        <f t="shared" si="6"/>
        <v>0.9999768</v>
      </c>
      <c r="S17" s="10">
        <f t="shared" si="5"/>
        <v>1.4800000000000002E-4</v>
      </c>
      <c r="T17" s="10">
        <f t="shared" si="7"/>
        <v>1.4800000000000002E-4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-I</v>
      </c>
      <c r="X17" s="12" t="b">
        <f t="shared" si="8"/>
        <v>0</v>
      </c>
    </row>
    <row r="18" spans="2:24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10">
        <v>2.3800000000000001E-4</v>
      </c>
      <c r="H18" s="26">
        <f t="shared" ref="H18:H22" si="9">G18*2.32</f>
        <v>5.5216E-4</v>
      </c>
      <c r="I18" s="8" t="s">
        <v>20</v>
      </c>
      <c r="J18" s="10">
        <v>1E-10</v>
      </c>
      <c r="K18" s="26">
        <v>2.3200000000000003E-10</v>
      </c>
      <c r="L18" s="31">
        <f t="shared" si="0"/>
        <v>1E-10</v>
      </c>
      <c r="M18" s="10">
        <f t="shared" si="1"/>
        <v>2.3200000000000003E-10</v>
      </c>
      <c r="N18" s="11">
        <f t="shared" si="2"/>
        <v>2.3200000000000003</v>
      </c>
      <c r="O18" s="32" t="str">
        <f t="shared" si="3"/>
        <v>-I</v>
      </c>
      <c r="Q18" s="31">
        <f t="shared" si="4"/>
        <v>0.99999999976800003</v>
      </c>
      <c r="R18" s="10">
        <f t="shared" si="6"/>
        <v>0.99999999976800003</v>
      </c>
      <c r="S18" s="10">
        <f t="shared" si="5"/>
        <v>1.4800000000000001E-9</v>
      </c>
      <c r="T18" s="10">
        <f t="shared" si="7"/>
        <v>1.4800000000000001E-9</v>
      </c>
      <c r="U18" s="9">
        <f t="array" ref="U18">MIN(IF('Normen en duidingsklassen'!$E$13:$E$20&gt;=$M18,'Normen en duidingsklassen'!$E$13:$E$20))</f>
        <v>0.1</v>
      </c>
      <c r="V18" s="9">
        <f>IFERROR(MATCH($U18,'Normen en duidingsklassen'!$E$13:$E$20,0),1)</f>
        <v>5</v>
      </c>
      <c r="W18" s="9" t="str">
        <f>INDEX('Normen en duidingsklassen'!$D$13:$D$20,V18)</f>
        <v>-I</v>
      </c>
      <c r="X18" s="12" t="b">
        <f t="shared" si="8"/>
        <v>0</v>
      </c>
    </row>
    <row r="19" spans="2:24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10">
        <v>1</v>
      </c>
      <c r="H19" s="26">
        <v>1</v>
      </c>
      <c r="I19" s="8" t="s">
        <v>20</v>
      </c>
      <c r="J19" s="10"/>
      <c r="K19" s="26"/>
      <c r="L19" s="31" t="str">
        <f>IF($E19="Nee",0,IF(I19="Ja",IF(ISNUMBER(J19),J19,"-"),IF(ISNUMBER(G19),G19,"-")))</f>
        <v>-</v>
      </c>
      <c r="M19" s="10" t="str">
        <f>IF($E19="Nee",0,IF(I19="Ja",IF(ISNUMBER(K19),K19,"-"),IF(ISNUMBER(H19),H19,"-")))</f>
        <v>-</v>
      </c>
      <c r="N19" s="11" t="str">
        <f t="shared" si="2"/>
        <v>-</v>
      </c>
      <c r="O19" s="32" t="str">
        <f t="shared" si="3"/>
        <v>D</v>
      </c>
      <c r="Q19" s="31" t="e">
        <f t="shared" si="4"/>
        <v>#VALUE!</v>
      </c>
      <c r="R19" s="10">
        <f t="shared" si="6"/>
        <v>1</v>
      </c>
      <c r="S19" s="10" t="e">
        <f t="shared" si="5"/>
        <v>#VALUE!</v>
      </c>
      <c r="T19" s="10">
        <f t="shared" si="7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1</v>
      </c>
    </row>
    <row r="20" spans="2:24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10">
        <v>0.5</v>
      </c>
      <c r="H20" s="26">
        <v>1</v>
      </c>
      <c r="I20" s="8" t="s">
        <v>20</v>
      </c>
      <c r="J20" s="10">
        <v>0</v>
      </c>
      <c r="K20" s="26">
        <v>0</v>
      </c>
      <c r="L20" s="31">
        <f t="shared" ref="L20:L22" si="10">IF($E20="Nee",0,IF(I20="Ja",IF(ISNUMBER(J20),J20,"-"),IF(ISNUMBER(G20),G20,"-")))</f>
        <v>0</v>
      </c>
      <c r="M20" s="10">
        <f t="shared" ref="M20:M22" si="11">IF($E20="Nee",0,IF(I20="Ja",IF(ISNUMBER(K20),K20,"-"),IF(ISNUMBER(H20),H20,"-")))</f>
        <v>0</v>
      </c>
      <c r="N20" s="11">
        <f t="shared" si="2"/>
        <v>1</v>
      </c>
      <c r="O20" s="32" t="str">
        <f t="shared" si="3"/>
        <v>+III</v>
      </c>
      <c r="Q20" s="31">
        <f t="shared" si="4"/>
        <v>1</v>
      </c>
      <c r="R20" s="10">
        <f t="shared" si="6"/>
        <v>1</v>
      </c>
      <c r="S20" s="10">
        <f t="shared" si="5"/>
        <v>0</v>
      </c>
      <c r="T20" s="10">
        <f t="shared" si="7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10">
        <v>0.1</v>
      </c>
      <c r="H21" s="26">
        <f t="shared" si="9"/>
        <v>0.23199999999999998</v>
      </c>
      <c r="I21" s="8" t="s">
        <v>20</v>
      </c>
      <c r="J21" s="10">
        <v>1E-8</v>
      </c>
      <c r="K21" s="26">
        <v>2.3200000000000003E-8</v>
      </c>
      <c r="L21" s="31">
        <f t="shared" si="10"/>
        <v>1E-8</v>
      </c>
      <c r="M21" s="10">
        <f t="shared" si="11"/>
        <v>2.3200000000000003E-8</v>
      </c>
      <c r="N21" s="11">
        <f t="shared" si="2"/>
        <v>2.3200000000000003</v>
      </c>
      <c r="O21" s="32" t="str">
        <f t="shared" si="3"/>
        <v>-I</v>
      </c>
      <c r="Q21" s="31">
        <f t="shared" si="4"/>
        <v>0.99999997679999997</v>
      </c>
      <c r="R21" s="10">
        <f t="shared" si="6"/>
        <v>0.99999997679999997</v>
      </c>
      <c r="S21" s="10">
        <f t="shared" si="5"/>
        <v>1.48E-7</v>
      </c>
      <c r="T21" s="10">
        <f t="shared" si="7"/>
        <v>1.48E-7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duidingsklassen'!$E$13:$E$20,0),1)</f>
        <v>5</v>
      </c>
      <c r="W21" s="9" t="str">
        <f>INDEX('Normen en duidingsklassen'!$D$13:$D$20,V21)</f>
        <v>-I</v>
      </c>
      <c r="X21" s="12" t="b">
        <f t="shared" si="8"/>
        <v>0</v>
      </c>
    </row>
    <row r="22" spans="2:24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10">
        <v>9.9000000000000005E-2</v>
      </c>
      <c r="H22" s="26">
        <f t="shared" si="9"/>
        <v>0.22968</v>
      </c>
      <c r="I22" s="8" t="s">
        <v>20</v>
      </c>
      <c r="J22" s="10">
        <v>1E-8</v>
      </c>
      <c r="K22" s="26">
        <v>2.3200000000000003E-8</v>
      </c>
      <c r="L22" s="31">
        <f t="shared" si="10"/>
        <v>1E-8</v>
      </c>
      <c r="M22" s="10">
        <f t="shared" si="11"/>
        <v>2.3200000000000003E-8</v>
      </c>
      <c r="N22" s="11">
        <f t="shared" si="2"/>
        <v>2.3200000000000003</v>
      </c>
      <c r="O22" s="32" t="str">
        <f t="shared" si="3"/>
        <v>-I</v>
      </c>
      <c r="Q22" s="31">
        <f t="shared" si="4"/>
        <v>0.99999997679999997</v>
      </c>
      <c r="R22" s="10">
        <f t="shared" si="6"/>
        <v>0.99999997679999997</v>
      </c>
      <c r="S22" s="10">
        <f t="shared" si="5"/>
        <v>1.48E-7</v>
      </c>
      <c r="T22" s="10">
        <f t="shared" si="7"/>
        <v>1.48E-7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duidingsklassen'!$E$13:$E$20,0),1)</f>
        <v>5</v>
      </c>
      <c r="W22" s="9" t="str">
        <f>INDEX('Normen en duidingsklassen'!$D$13:$D$20,V22)</f>
        <v>-I</v>
      </c>
      <c r="X22" s="12" t="b">
        <f t="shared" si="8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67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IFERROR(MIN(1-PRODUCT(M11:M71),MAX(O11:O71)),"GR")</f>
        <v>0</v>
      </c>
    </row>
    <row r="6" spans="2:21" x14ac:dyDescent="0.25">
      <c r="B6" s="40" t="s">
        <v>41</v>
      </c>
      <c r="C6" s="26">
        <f>MIN(1-PRODUCT(N11:N71),MAX(P11:P71))</f>
        <v>0</v>
      </c>
    </row>
    <row r="7" spans="2:21" ht="15.75" thickBot="1" x14ac:dyDescent="0.3">
      <c r="B7" s="41" t="s">
        <v>48</v>
      </c>
      <c r="C7" s="17" t="str">
        <f>IF(1-PRODUCT(N11:N71)&gt;MAX(P11:P71),"Ja","Nee")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105</v>
      </c>
      <c r="C11" s="4">
        <v>0</v>
      </c>
      <c r="D11" s="4">
        <v>24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0.1</v>
      </c>
      <c r="R11" s="9">
        <f>IFERROR(MATCH($Q11,'Normen en duidingsklassen'!$E$13:$E$20),1)</f>
        <v>5</v>
      </c>
      <c r="S11" s="9" t="str">
        <f>INDEX('Normen en duidingsklassen'!$D$13:$D$20,R11)</f>
        <v>-I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D12" sqref="D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49</v>
      </c>
      <c r="C2" s="2" t="s">
        <v>68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IFERROR(MIN(1-PRODUCT(M11:M11),MAX(O11:O11)),"GR")</f>
        <v>0</v>
      </c>
    </row>
    <row r="6" spans="2:21" x14ac:dyDescent="0.25">
      <c r="B6" s="40" t="s">
        <v>41</v>
      </c>
      <c r="C6" s="26">
        <f>MIN(1-PRODUCT(N11:N11),MAX(P11:P11))</f>
        <v>0</v>
      </c>
    </row>
    <row r="7" spans="2:21" ht="15.75" thickBot="1" x14ac:dyDescent="0.3">
      <c r="B7" s="41" t="s">
        <v>48</v>
      </c>
      <c r="C7" s="17" t="str">
        <f>IF(1-PRODUCT(N11:N11)&gt;MAX(P11:P11),"Ja","Nee")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45</v>
      </c>
      <c r="P10" s="37" t="s">
        <v>46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ht="15.75" thickBot="1" x14ac:dyDescent="0.3">
      <c r="B11" s="42" t="s">
        <v>8</v>
      </c>
      <c r="C11" s="43">
        <v>0</v>
      </c>
      <c r="D11" s="43">
        <v>24</v>
      </c>
      <c r="E11" s="44" t="s">
        <v>21</v>
      </c>
      <c r="F11" s="42" t="s">
        <v>25</v>
      </c>
      <c r="G11" s="45"/>
      <c r="H11" s="42" t="s">
        <v>21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0.1</v>
      </c>
      <c r="R11" s="14">
        <f>IFERROR(MATCH($Q11,'Normen en duidingsklassen'!$E$13:$E$20),1)</f>
        <v>5</v>
      </c>
      <c r="S11" s="14" t="str">
        <f>INDEX('Normen en duidingsklassen'!$D$13:$D$20,R11)</f>
        <v>-I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K11" sqref="K11:K2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104</v>
      </c>
    </row>
    <row r="3" spans="2:21" x14ac:dyDescent="0.25">
      <c r="B3" s="36" t="s">
        <v>44</v>
      </c>
      <c r="C3" s="7">
        <v>3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IFERROR(MIN(1-PRODUCT(M11:M28),MAX(O11:O28)),"GR")</f>
        <v>1.9961410016728909E-3</v>
      </c>
    </row>
    <row r="6" spans="2:21" x14ac:dyDescent="0.25">
      <c r="B6" s="40" t="s">
        <v>41</v>
      </c>
      <c r="C6" s="26">
        <f>MIN(1-PRODUCT(N11:N28),MAX(P11:P28))</f>
        <v>1.9961410016728909E-3</v>
      </c>
    </row>
    <row r="7" spans="2:21" ht="15.75" thickBot="1" x14ac:dyDescent="0.3">
      <c r="B7" s="41" t="s">
        <v>48</v>
      </c>
      <c r="C7" s="17" t="str">
        <f>IF(1-PRODUCT(N11:N28)&gt;MAX(P11:P28),"Ja","Nee")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20</v>
      </c>
      <c r="F11" s="8" t="s">
        <v>25</v>
      </c>
      <c r="G11" s="25"/>
      <c r="H11" s="3" t="s">
        <v>21</v>
      </c>
      <c r="I11" s="25"/>
      <c r="J11" s="5" t="str">
        <f t="shared" ref="J11:J22" si="0">IF($E11="Nee",0,IF(H11="Ja",IF(ISNUMBER(I11),I11,"-"),IF(ISNUMBER(G11),G11,"-")))</f>
        <v>-</v>
      </c>
      <c r="K11" s="30" t="str">
        <f t="shared" ref="K11:K22" si="1">IF($E11="Nee","NR",IF(ISNUMBER($J11),S11,IF($T11,"D","ND")))</f>
        <v>ND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 t="shared" ref="O11:O1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26">
        <v>0.6</v>
      </c>
      <c r="H12" s="8" t="s">
        <v>20</v>
      </c>
      <c r="I12" s="26">
        <v>0</v>
      </c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6">IF($E12="Ja",IF($H12="Ja",NOT(ISNUMBER($I12)),FALSE),FALSE)</f>
        <v>0</v>
      </c>
    </row>
    <row r="13" spans="2:2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8.0000000000000004E-4</v>
      </c>
      <c r="H13" s="8" t="s">
        <v>20</v>
      </c>
      <c r="I13" s="26">
        <v>5.9999999999999997E-7</v>
      </c>
      <c r="J13" s="10">
        <f t="shared" si="0"/>
        <v>5.9999999999999997E-7</v>
      </c>
      <c r="K13" s="32" t="str">
        <f t="shared" si="1"/>
        <v>-I</v>
      </c>
      <c r="M13" s="31">
        <f t="shared" ref="M13:M22" si="7">IF(AND(F13="Geen faalkans",H13="Nee"),1,1-J13)</f>
        <v>0.99999939999999998</v>
      </c>
      <c r="N13" s="10">
        <f t="shared" ref="N13:N22" si="8">IF(J13="-",1,M13)</f>
        <v>0.99999939999999998</v>
      </c>
      <c r="O13" s="10">
        <f t="shared" ref="O13:O22" si="9">IF(AND(F13="Geen faalkans",H13="Nee"),0,J13*$C$3)</f>
        <v>1.7999999999999999E-6</v>
      </c>
      <c r="P13" s="10">
        <f t="shared" si="5"/>
        <v>1.7999999999999999E-6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12" t="b">
        <f t="shared" si="6"/>
        <v>0</v>
      </c>
    </row>
    <row r="14" spans="2:21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5.0000000000000004E-6</v>
      </c>
      <c r="H14" s="8" t="s">
        <v>21</v>
      </c>
      <c r="I14" s="26"/>
      <c r="J14" s="10">
        <f t="shared" si="0"/>
        <v>5.0000000000000004E-6</v>
      </c>
      <c r="K14" s="32" t="str">
        <f t="shared" si="1"/>
        <v>-I</v>
      </c>
      <c r="M14" s="31">
        <f t="shared" si="7"/>
        <v>0.99999499999999997</v>
      </c>
      <c r="N14" s="10">
        <f t="shared" si="8"/>
        <v>0.99999499999999997</v>
      </c>
      <c r="O14" s="10">
        <f t="shared" si="9"/>
        <v>1.5000000000000002E-5</v>
      </c>
      <c r="P14" s="10">
        <f t="shared" ref="P14:P22" si="10">IF(J14="-",0,O14)</f>
        <v>1.5000000000000002E-5</v>
      </c>
      <c r="Q14" s="9">
        <f t="array" ref="Q14">MIN(IF('Normen en duidingsklassen'!$E$13:$E$20&gt;=$J14,'Normen en duidingsklassen'!$E$13:$E$20))</f>
        <v>0.1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12" t="b">
        <f t="shared" si="6"/>
        <v>0</v>
      </c>
    </row>
    <row r="15" spans="2:21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9.9000000000000005E-2</v>
      </c>
      <c r="H15" s="8" t="s">
        <v>20</v>
      </c>
      <c r="I15" s="26">
        <v>8.0000000000000005E-9</v>
      </c>
      <c r="J15" s="10">
        <f t="shared" si="0"/>
        <v>8.0000000000000005E-9</v>
      </c>
      <c r="K15" s="32" t="str">
        <f t="shared" si="1"/>
        <v>-I</v>
      </c>
      <c r="M15" s="31">
        <f t="shared" si="7"/>
        <v>0.999999992</v>
      </c>
      <c r="N15" s="10">
        <f t="shared" si="8"/>
        <v>0.999999992</v>
      </c>
      <c r="O15" s="10">
        <f t="shared" si="9"/>
        <v>2.4000000000000003E-8</v>
      </c>
      <c r="P15" s="10">
        <f t="shared" si="10"/>
        <v>2.4000000000000003E-8</v>
      </c>
      <c r="Q15" s="9">
        <f t="array" ref="Q15">MIN(IF('Normen en duidingsklassen'!$E$13:$E$20&gt;=$J15,'Normen en duidingsklassen'!$E$13:$E$20))</f>
        <v>0.1</v>
      </c>
      <c r="R15" s="9">
        <f>IFERROR(MATCH($Q15,'Normen en duidingsklassen'!$E$13:$E$20,0),1)</f>
        <v>5</v>
      </c>
      <c r="S15" s="9" t="str">
        <f>INDEX('Normen en duidingsklassen'!$D$13:$D$20,R15)</f>
        <v>-I</v>
      </c>
      <c r="T15" s="12" t="b">
        <f t="shared" si="6"/>
        <v>0</v>
      </c>
    </row>
    <row r="16" spans="2:2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24</v>
      </c>
      <c r="G16" s="26">
        <v>0.11</v>
      </c>
      <c r="H16" s="8" t="s">
        <v>20</v>
      </c>
      <c r="I16" s="26">
        <v>0</v>
      </c>
      <c r="J16" s="10">
        <f t="shared" si="0"/>
        <v>0</v>
      </c>
      <c r="K16" s="32" t="str">
        <f t="shared" si="1"/>
        <v>+III</v>
      </c>
      <c r="M16" s="31">
        <f t="shared" si="7"/>
        <v>1</v>
      </c>
      <c r="N16" s="10">
        <f t="shared" si="8"/>
        <v>1</v>
      </c>
      <c r="O16" s="10">
        <f t="shared" si="9"/>
        <v>0</v>
      </c>
      <c r="P16" s="10">
        <f t="shared" si="10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26">
        <v>0.1</v>
      </c>
      <c r="H17" s="8" t="s">
        <v>20</v>
      </c>
      <c r="I17" s="26">
        <v>2.546E-5</v>
      </c>
      <c r="J17" s="10">
        <f t="shared" si="0"/>
        <v>2.546E-5</v>
      </c>
      <c r="K17" s="32" t="str">
        <f t="shared" si="1"/>
        <v>-I</v>
      </c>
      <c r="M17" s="31">
        <f t="shared" si="7"/>
        <v>0.99997453999999997</v>
      </c>
      <c r="N17" s="10">
        <f t="shared" si="8"/>
        <v>0.99997453999999997</v>
      </c>
      <c r="O17" s="10">
        <f t="shared" si="9"/>
        <v>7.6379999999999997E-5</v>
      </c>
      <c r="P17" s="10">
        <f t="shared" si="10"/>
        <v>7.6379999999999997E-5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12" t="b">
        <f t="shared" si="6"/>
        <v>0</v>
      </c>
    </row>
    <row r="18" spans="2:20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6.6600000000000003E-4</v>
      </c>
      <c r="H18" s="8" t="s">
        <v>21</v>
      </c>
      <c r="I18" s="26"/>
      <c r="J18" s="10">
        <f t="shared" si="0"/>
        <v>6.6600000000000003E-4</v>
      </c>
      <c r="K18" s="32" t="str">
        <f t="shared" si="1"/>
        <v>-I</v>
      </c>
      <c r="M18" s="31">
        <f t="shared" si="7"/>
        <v>0.99933399999999994</v>
      </c>
      <c r="N18" s="10">
        <f t="shared" si="8"/>
        <v>0.99933399999999994</v>
      </c>
      <c r="O18" s="10">
        <f t="shared" si="9"/>
        <v>1.9980000000000002E-3</v>
      </c>
      <c r="P18" s="10">
        <f t="shared" si="10"/>
        <v>1.9980000000000002E-3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12" t="b">
        <f t="shared" si="6"/>
        <v>0</v>
      </c>
    </row>
    <row r="19" spans="2:20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6.6699999999999995E-4</v>
      </c>
      <c r="H19" s="8" t="s">
        <v>20</v>
      </c>
      <c r="I19" s="26">
        <v>1.2999999999999999E-3</v>
      </c>
      <c r="J19" s="10">
        <f t="shared" si="0"/>
        <v>1.2999999999999999E-3</v>
      </c>
      <c r="K19" s="32" t="str">
        <f t="shared" si="1"/>
        <v>-I</v>
      </c>
      <c r="M19" s="31">
        <f t="shared" si="7"/>
        <v>0.99870000000000003</v>
      </c>
      <c r="N19" s="10">
        <f t="shared" si="8"/>
        <v>0.99870000000000003</v>
      </c>
      <c r="O19" s="10">
        <f t="shared" si="9"/>
        <v>3.8999999999999998E-3</v>
      </c>
      <c r="P19" s="10">
        <f t="shared" si="10"/>
        <v>3.8999999999999998E-3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12" t="b">
        <f t="shared" si="6"/>
        <v>0</v>
      </c>
    </row>
    <row r="20" spans="2:20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0</v>
      </c>
      <c r="H20" s="8" t="s">
        <v>21</v>
      </c>
      <c r="I20" s="26"/>
      <c r="J20" s="10">
        <f t="shared" si="0"/>
        <v>0</v>
      </c>
      <c r="K20" s="32" t="str">
        <f t="shared" si="1"/>
        <v>+III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1</v>
      </c>
      <c r="H21" s="8" t="s">
        <v>20</v>
      </c>
      <c r="I21" s="26">
        <v>0</v>
      </c>
      <c r="J21" s="10">
        <f t="shared" si="0"/>
        <v>0</v>
      </c>
      <c r="K21" s="32" t="str">
        <f t="shared" si="1"/>
        <v>+III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19</v>
      </c>
      <c r="C22" s="9">
        <v>22</v>
      </c>
      <c r="D22" s="9">
        <v>24</v>
      </c>
      <c r="E22" s="23" t="s">
        <v>21</v>
      </c>
      <c r="F22" s="8" t="s">
        <v>25</v>
      </c>
      <c r="G22" s="26"/>
      <c r="H22" s="8" t="s">
        <v>21</v>
      </c>
      <c r="I22" s="26"/>
      <c r="J22" s="10">
        <f t="shared" si="0"/>
        <v>0</v>
      </c>
      <c r="K22" s="32" t="str">
        <f t="shared" si="1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S12" sqref="S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91</v>
      </c>
    </row>
    <row r="3" spans="2:21" x14ac:dyDescent="0.25">
      <c r="B3" s="36" t="s">
        <v>44</v>
      </c>
      <c r="C3" s="7">
        <v>1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 t="str">
        <f>IFERROR(MIN(1-PRODUCT(M11:M28),MAX(O11:O28)),"GR")</f>
        <v>GR</v>
      </c>
    </row>
    <row r="6" spans="2:21" x14ac:dyDescent="0.25">
      <c r="B6" s="40" t="s">
        <v>41</v>
      </c>
      <c r="C6" s="26">
        <f>MIN(1-PRODUCT(N11:N28),MAX(P11:P28))</f>
        <v>3.2699999999999999E-3</v>
      </c>
    </row>
    <row r="7" spans="2:21" ht="15.75" thickBot="1" x14ac:dyDescent="0.3">
      <c r="B7" s="41" t="s">
        <v>48</v>
      </c>
      <c r="C7" s="17" t="str">
        <f>IF(1-PRODUCT(N11:N28)&gt;MAX(P11:P28),"Ja","Nee")</f>
        <v>Ja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 t="shared" ref="J11:J18" si="0">IF($E11="Nee",0,IF(H11="Ja",IF(ISNUMBER(I11),I11,"-"),IF(ISNUMBER(G11),G11,"-")))</f>
        <v>0</v>
      </c>
      <c r="K11" s="30" t="str">
        <f t="shared" ref="K11:K22" si="1">IF($E11="Nee","NR",IF(ISNUMBER($J11),S11,IF($T11,"D","ND")))</f>
        <v>NR</v>
      </c>
      <c r="M11" s="31">
        <f t="shared" ref="M11" si="2">IF(AND(F11="Geen faalkans",H11="Nee"),1,1-J11)</f>
        <v>1</v>
      </c>
      <c r="N11" s="10">
        <f t="shared" ref="N11" si="3">IF(J11="-",1,M11)</f>
        <v>1</v>
      </c>
      <c r="O11" s="10">
        <f t="shared" ref="O11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25</v>
      </c>
      <c r="G12" s="26"/>
      <c r="H12" s="8" t="s">
        <v>21</v>
      </c>
      <c r="I12" s="26"/>
      <c r="J12" s="10" t="str">
        <f t="shared" si="0"/>
        <v>-</v>
      </c>
      <c r="K12" s="32" t="str">
        <f t="shared" si="1"/>
        <v>ND</v>
      </c>
      <c r="M12" s="31">
        <f t="shared" ref="M12:M22" si="5">IF(AND(F12="Geen faalkans",H12="Nee"),1,1-J12)</f>
        <v>1</v>
      </c>
      <c r="N12" s="10">
        <f t="shared" ref="N12:N22" si="6">IF(J12="-",1,M12)</f>
        <v>1</v>
      </c>
      <c r="O12" s="10">
        <f t="shared" ref="O12:O22" si="7">IF(AND(F12="Geen faalkans",H12="Nee"),0,J12*$C$3)</f>
        <v>0</v>
      </c>
      <c r="P12" s="10">
        <f t="shared" ref="P12:P22" si="8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9">IF($E12="Ja",IF($H12="Ja",NOT(ISNUMBER($I12)),FALSE),FALSE)</f>
        <v>0</v>
      </c>
    </row>
    <row r="13" spans="2:2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2.2900000000000001E-4</v>
      </c>
      <c r="H13" s="8" t="s">
        <v>20</v>
      </c>
      <c r="I13" s="26">
        <v>0</v>
      </c>
      <c r="J13" s="10">
        <f t="shared" si="0"/>
        <v>0</v>
      </c>
      <c r="K13" s="32" t="str">
        <f t="shared" si="1"/>
        <v>+III</v>
      </c>
      <c r="M13" s="31">
        <f t="shared" si="5"/>
        <v>1</v>
      </c>
      <c r="N13" s="10">
        <f t="shared" si="6"/>
        <v>1</v>
      </c>
      <c r="O13" s="10">
        <f t="shared" si="7"/>
        <v>0</v>
      </c>
      <c r="P13" s="10">
        <f t="shared" si="8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2.2800000000000001E-4</v>
      </c>
      <c r="H14" s="8" t="s">
        <v>21</v>
      </c>
      <c r="I14" s="26"/>
      <c r="J14" s="10">
        <f t="shared" si="0"/>
        <v>2.2800000000000001E-4</v>
      </c>
      <c r="K14" s="32" t="str">
        <f t="shared" si="1"/>
        <v>-I</v>
      </c>
      <c r="M14" s="31">
        <f t="shared" si="5"/>
        <v>0.99977199999999999</v>
      </c>
      <c r="N14" s="10">
        <f t="shared" si="6"/>
        <v>0.99977199999999999</v>
      </c>
      <c r="O14" s="10">
        <f t="shared" si="7"/>
        <v>2.2800000000000001E-4</v>
      </c>
      <c r="P14" s="10">
        <f t="shared" si="8"/>
        <v>2.2800000000000001E-4</v>
      </c>
      <c r="Q14" s="9">
        <f t="array" ref="Q14">MIN(IF('Normen en duidingsklassen'!$E$13:$E$20&gt;=$J14,'Normen en duidingsklassen'!$E$13:$E$20))</f>
        <v>0.1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12" t="b">
        <f t="shared" si="9"/>
        <v>0</v>
      </c>
    </row>
    <row r="15" spans="2:21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0.1</v>
      </c>
      <c r="H15" s="8" t="s">
        <v>20</v>
      </c>
      <c r="I15" s="26">
        <v>3.2699999999999999E-3</v>
      </c>
      <c r="J15" s="10">
        <f t="shared" si="0"/>
        <v>3.2699999999999999E-3</v>
      </c>
      <c r="K15" s="32" t="str">
        <f t="shared" si="1"/>
        <v>-I</v>
      </c>
      <c r="M15" s="31">
        <f t="shared" si="5"/>
        <v>0.99673</v>
      </c>
      <c r="N15" s="10">
        <f t="shared" si="6"/>
        <v>0.99673</v>
      </c>
      <c r="O15" s="10">
        <f t="shared" si="7"/>
        <v>3.2699999999999999E-3</v>
      </c>
      <c r="P15" s="10">
        <f t="shared" si="8"/>
        <v>3.2699999999999999E-3</v>
      </c>
      <c r="Q15" s="9">
        <f t="array" ref="Q15">MIN(IF('Normen en duidingsklassen'!$E$13:$E$20&gt;=$J15,'Normen en duidingsklassen'!$E$13:$E$20))</f>
        <v>0.1</v>
      </c>
      <c r="R15" s="9">
        <f>IFERROR(MATCH($Q15,'Normen en duidingsklassen'!$E$13:$E$20,0),1)</f>
        <v>5</v>
      </c>
      <c r="S15" s="9" t="str">
        <f>INDEX('Normen en duidingsklassen'!$D$13:$D$20,R15)</f>
        <v>-I</v>
      </c>
      <c r="T15" s="12" t="b">
        <f t="shared" si="9"/>
        <v>0</v>
      </c>
    </row>
    <row r="16" spans="2:21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26"/>
      <c r="H16" s="8" t="s">
        <v>21</v>
      </c>
      <c r="I16" s="26"/>
      <c r="J16" s="10">
        <f t="shared" si="0"/>
        <v>0</v>
      </c>
      <c r="K16" s="32" t="str">
        <f t="shared" si="1"/>
        <v>NR</v>
      </c>
      <c r="M16" s="31">
        <f t="shared" si="5"/>
        <v>1</v>
      </c>
      <c r="N16" s="10">
        <f t="shared" si="6"/>
        <v>1</v>
      </c>
      <c r="O16" s="10">
        <f t="shared" si="7"/>
        <v>0</v>
      </c>
      <c r="P16" s="10">
        <f t="shared" si="8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26"/>
      <c r="H17" s="8" t="s">
        <v>21</v>
      </c>
      <c r="I17" s="26"/>
      <c r="J17" s="10">
        <f t="shared" si="0"/>
        <v>0</v>
      </c>
      <c r="K17" s="32" t="str">
        <f t="shared" si="1"/>
        <v>NR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0</v>
      </c>
      <c r="H18" s="8" t="s">
        <v>21</v>
      </c>
      <c r="I18" s="26"/>
      <c r="J18" s="10">
        <f t="shared" si="0"/>
        <v>0</v>
      </c>
      <c r="K18" s="32" t="str">
        <f t="shared" si="1"/>
        <v>+III</v>
      </c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9"/>
        <v>0</v>
      </c>
    </row>
    <row r="19" spans="2:20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1</v>
      </c>
      <c r="H19" s="8" t="s">
        <v>20</v>
      </c>
      <c r="I19" s="26"/>
      <c r="J19" s="10" t="str">
        <f>IF($E19="Nee",0,IF(H19="Ja",IF(ISNUMBER(I19),I19,"-"),IF(ISNUMBER(G19),G19,"-")))</f>
        <v>-</v>
      </c>
      <c r="K19" s="32" t="str">
        <f t="shared" si="1"/>
        <v>D</v>
      </c>
      <c r="M19" s="31" t="e">
        <f t="shared" si="5"/>
        <v>#VALUE!</v>
      </c>
      <c r="N19" s="10">
        <f t="shared" si="6"/>
        <v>1</v>
      </c>
      <c r="O19" s="10" t="e">
        <f t="shared" si="7"/>
        <v>#VALUE!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9"/>
        <v>1</v>
      </c>
    </row>
    <row r="20" spans="2:20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1.9999999999999999E-6</v>
      </c>
      <c r="H20" s="8" t="s">
        <v>21</v>
      </c>
      <c r="I20" s="26"/>
      <c r="J20" s="10">
        <f t="shared" ref="J20:J22" si="10">IF($E20="Nee",0,IF(H20="Ja",IF(ISNUMBER(I20),I20,"-"),IF(ISNUMBER(G20),G20,"-")))</f>
        <v>1.9999999999999999E-6</v>
      </c>
      <c r="K20" s="32" t="str">
        <f t="shared" si="1"/>
        <v>-I</v>
      </c>
      <c r="M20" s="31">
        <f t="shared" si="5"/>
        <v>0.99999800000000005</v>
      </c>
      <c r="N20" s="10">
        <f t="shared" si="6"/>
        <v>0.99999800000000005</v>
      </c>
      <c r="O20" s="10">
        <f t="shared" si="7"/>
        <v>1.9999999999999999E-6</v>
      </c>
      <c r="P20" s="10">
        <f t="shared" si="8"/>
        <v>1.9999999999999999E-6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12" t="b">
        <f t="shared" si="9"/>
        <v>0</v>
      </c>
    </row>
    <row r="21" spans="2:20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5.9999999999999995E-4</v>
      </c>
      <c r="H21" s="8" t="s">
        <v>20</v>
      </c>
      <c r="I21" s="26">
        <v>5.0000000000000001E-4</v>
      </c>
      <c r="J21" s="10">
        <f t="shared" si="10"/>
        <v>5.0000000000000001E-4</v>
      </c>
      <c r="K21" s="32" t="str">
        <f t="shared" si="1"/>
        <v>-I</v>
      </c>
      <c r="M21" s="31">
        <f t="shared" si="5"/>
        <v>0.99950000000000006</v>
      </c>
      <c r="N21" s="10">
        <f t="shared" si="6"/>
        <v>0.99950000000000006</v>
      </c>
      <c r="O21" s="10">
        <f t="shared" si="7"/>
        <v>5.0000000000000001E-4</v>
      </c>
      <c r="P21" s="10">
        <f t="shared" si="8"/>
        <v>5.0000000000000001E-4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12" t="b">
        <f t="shared" si="9"/>
        <v>0</v>
      </c>
    </row>
    <row r="22" spans="2:20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26">
        <v>2.0000000000000001E-9</v>
      </c>
      <c r="H22" s="8" t="s">
        <v>21</v>
      </c>
      <c r="I22" s="26"/>
      <c r="J22" s="10">
        <f t="shared" si="10"/>
        <v>2.0000000000000001E-9</v>
      </c>
      <c r="K22" s="32" t="str">
        <f t="shared" si="1"/>
        <v>-I</v>
      </c>
      <c r="M22" s="31">
        <f t="shared" si="5"/>
        <v>0.99999999799999995</v>
      </c>
      <c r="N22" s="10">
        <f t="shared" si="6"/>
        <v>0.99999999799999995</v>
      </c>
      <c r="O22" s="10">
        <f t="shared" si="7"/>
        <v>2.0000000000000001E-9</v>
      </c>
      <c r="P22" s="10">
        <f t="shared" si="8"/>
        <v>2.0000000000000001E-9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9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F23" sqref="F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88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IFERROR(MIN(1-PRODUCT(M11:M27),MAX(O11:O27)),"GR")</f>
        <v>2.8437656524269217E-2</v>
      </c>
    </row>
    <row r="6" spans="2:21" x14ac:dyDescent="0.25">
      <c r="B6" s="40" t="s">
        <v>41</v>
      </c>
      <c r="C6" s="26">
        <f>MIN(1-PRODUCT(N11:N27),MAX(P11:P27))</f>
        <v>2.8437656524269217E-2</v>
      </c>
    </row>
    <row r="7" spans="2:21" ht="15.75" thickBot="1" x14ac:dyDescent="0.3">
      <c r="B7" s="41" t="s">
        <v>48</v>
      </c>
      <c r="C7" s="17" t="str">
        <f>IF(1-PRODUCT(N11:N27)&gt;MAX(P11:P27),"Ja","Nee")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25</v>
      </c>
      <c r="G11" s="25"/>
      <c r="H11" s="3" t="s">
        <v>21</v>
      </c>
      <c r="I11" s="25"/>
      <c r="J11" s="5" t="str">
        <f t="shared" ref="J11:J22" si="0">IF($E11="Nee",0,IF(H11="Ja",IF(ISNUMBER(I11),I11,"-"),IF(ISNUMBER(G11),G11,"-")))</f>
        <v>-</v>
      </c>
      <c r="K11" s="30" t="str">
        <f t="shared" ref="K11:K22" si="1">IF($E11="Nee","NR",IF(ISNUMBER($J11),S11,IF($T11,"D","ND")))</f>
        <v>ND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26">
        <v>0</v>
      </c>
      <c r="H12" s="8" t="s">
        <v>21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26">
        <v>2.4E-2</v>
      </c>
      <c r="H13" s="8" t="s">
        <v>21</v>
      </c>
      <c r="I13" s="26"/>
      <c r="J13" s="10">
        <f t="shared" si="0"/>
        <v>2.4E-2</v>
      </c>
      <c r="K13" s="32" t="str">
        <f t="shared" si="1"/>
        <v>-I</v>
      </c>
      <c r="M13" s="31">
        <f t="shared" ref="M13:M22" si="7">IF(AND(F13="Geen faalkans",H13="Nee"),1,1-J13)</f>
        <v>0.97599999999999998</v>
      </c>
      <c r="N13" s="10">
        <f t="shared" ref="N13:N22" si="8">IF(J13="-",1,M13)</f>
        <v>0.97599999999999998</v>
      </c>
      <c r="O13" s="10">
        <f t="shared" si="4"/>
        <v>4.8000000000000001E-2</v>
      </c>
      <c r="P13" s="10">
        <f t="shared" si="5"/>
        <v>4.8000000000000001E-2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26"/>
      <c r="H14" s="8" t="s">
        <v>21</v>
      </c>
      <c r="I14" s="26"/>
      <c r="J14" s="10">
        <f t="shared" si="0"/>
        <v>0</v>
      </c>
      <c r="K14" s="32" t="str">
        <f t="shared" si="1"/>
        <v>NR</v>
      </c>
      <c r="M14" s="31">
        <f t="shared" si="7"/>
        <v>1</v>
      </c>
      <c r="N14" s="10">
        <f t="shared" si="8"/>
        <v>1</v>
      </c>
      <c r="O14" s="10">
        <f t="shared" ref="O14:O22" si="9">IF(AND(F14="Geen faalkans",H14="Nee"),0,J14*$C$3)</f>
        <v>0</v>
      </c>
      <c r="P14" s="10">
        <f t="shared" ref="P14:P22" si="10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8</v>
      </c>
      <c r="D15" s="9">
        <v>10</v>
      </c>
      <c r="E15" s="23" t="s">
        <v>21</v>
      </c>
      <c r="F15" s="8" t="s">
        <v>25</v>
      </c>
      <c r="G15" s="26"/>
      <c r="H15" s="8" t="s">
        <v>21</v>
      </c>
      <c r="I15" s="26"/>
      <c r="J15" s="10">
        <f t="shared" si="0"/>
        <v>0</v>
      </c>
      <c r="K15" s="32" t="str">
        <f t="shared" si="1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26</v>
      </c>
      <c r="G16" s="69">
        <v>0.1</v>
      </c>
      <c r="H16" s="8" t="s">
        <v>20</v>
      </c>
      <c r="I16" s="26">
        <v>5.9999999999999995E-25</v>
      </c>
      <c r="J16" s="10">
        <f t="shared" si="0"/>
        <v>5.9999999999999995E-25</v>
      </c>
      <c r="K16" s="32" t="str">
        <f t="shared" si="1"/>
        <v>-I</v>
      </c>
      <c r="M16" s="31">
        <f t="shared" si="7"/>
        <v>1</v>
      </c>
      <c r="N16" s="10">
        <f t="shared" si="8"/>
        <v>1</v>
      </c>
      <c r="O16" s="10">
        <f t="shared" si="9"/>
        <v>1.1999999999999999E-24</v>
      </c>
      <c r="P16" s="10">
        <f t="shared" si="10"/>
        <v>1.1999999999999999E-24</v>
      </c>
      <c r="Q16" s="9">
        <f t="array" ref="Q16">MIN(IF('Normen en duidingsklassen'!$E$13:$E$20&gt;=$J16,'Normen en duidingsklassen'!$E$13:$E$20))</f>
        <v>0.1</v>
      </c>
      <c r="R16" s="9">
        <f>IFERROR(MATCH($Q16,'Normen en duidingsklassen'!$E$13:$E$20,0),1)</f>
        <v>5</v>
      </c>
      <c r="S16" s="9" t="str">
        <f>INDEX('Normen en duidingsklassen'!$D$13:$D$20,R16)</f>
        <v>-I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26</v>
      </c>
      <c r="G17" s="26">
        <v>9.9000000000000005E-2</v>
      </c>
      <c r="H17" s="8" t="s">
        <v>20</v>
      </c>
      <c r="I17" s="26">
        <v>6.9999999999999999E-6</v>
      </c>
      <c r="J17" s="10">
        <f t="shared" si="0"/>
        <v>6.9999999999999999E-6</v>
      </c>
      <c r="K17" s="32" t="str">
        <f t="shared" si="1"/>
        <v>-I</v>
      </c>
      <c r="M17" s="31">
        <f t="shared" si="7"/>
        <v>0.99999300000000002</v>
      </c>
      <c r="N17" s="10">
        <f t="shared" si="8"/>
        <v>0.99999300000000002</v>
      </c>
      <c r="O17" s="10">
        <f t="shared" si="9"/>
        <v>1.4E-5</v>
      </c>
      <c r="P17" s="10">
        <f t="shared" si="10"/>
        <v>1.4E-5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26</v>
      </c>
      <c r="G18" s="26">
        <v>0.11</v>
      </c>
      <c r="H18" s="8" t="s">
        <v>20</v>
      </c>
      <c r="I18" s="26">
        <v>1.9999999999999999E-6</v>
      </c>
      <c r="J18" s="10">
        <f t="shared" si="0"/>
        <v>1.9999999999999999E-6</v>
      </c>
      <c r="K18" s="32" t="str">
        <f t="shared" si="1"/>
        <v>-I</v>
      </c>
      <c r="M18" s="31">
        <f t="shared" si="7"/>
        <v>0.99999800000000005</v>
      </c>
      <c r="N18" s="10">
        <f t="shared" si="8"/>
        <v>0.99999800000000005</v>
      </c>
      <c r="O18" s="10">
        <f t="shared" si="9"/>
        <v>3.9999999999999998E-6</v>
      </c>
      <c r="P18" s="10">
        <f t="shared" si="10"/>
        <v>3.9999999999999998E-6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26">
        <v>0.1</v>
      </c>
      <c r="H19" s="8" t="s">
        <v>20</v>
      </c>
      <c r="I19" s="26">
        <v>5.0000000000000001E-4</v>
      </c>
      <c r="J19" s="10">
        <f t="shared" si="0"/>
        <v>5.0000000000000001E-4</v>
      </c>
      <c r="K19" s="32" t="str">
        <f t="shared" si="1"/>
        <v>-I</v>
      </c>
      <c r="M19" s="31">
        <f t="shared" si="7"/>
        <v>0.99950000000000006</v>
      </c>
      <c r="N19" s="10">
        <f t="shared" si="8"/>
        <v>0.99950000000000006</v>
      </c>
      <c r="O19" s="10">
        <f t="shared" si="9"/>
        <v>1E-3</v>
      </c>
      <c r="P19" s="10">
        <f t="shared" si="10"/>
        <v>1E-3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12" t="b">
        <f t="shared" si="6"/>
        <v>0</v>
      </c>
    </row>
    <row r="20" spans="2:20" ht="15.75" customHeight="1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26">
        <v>2.9999999999999998E-15</v>
      </c>
      <c r="H20" s="8" t="s">
        <v>21</v>
      </c>
      <c r="I20" s="26"/>
      <c r="J20" s="10">
        <f t="shared" si="0"/>
        <v>2.9999999999999998E-15</v>
      </c>
      <c r="K20" s="32" t="str">
        <f t="shared" si="1"/>
        <v>-I</v>
      </c>
      <c r="M20" s="31">
        <f t="shared" si="7"/>
        <v>0.999999999999997</v>
      </c>
      <c r="N20" s="10">
        <f t="shared" si="8"/>
        <v>0.999999999999997</v>
      </c>
      <c r="O20" s="10">
        <f t="shared" si="9"/>
        <v>5.9999999999999997E-15</v>
      </c>
      <c r="P20" s="10">
        <f t="shared" si="10"/>
        <v>5.9999999999999997E-15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12" t="b">
        <f t="shared" si="6"/>
        <v>0</v>
      </c>
    </row>
    <row r="21" spans="2:20" ht="15.75" customHeight="1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26">
        <v>4.0000000000000003E-5</v>
      </c>
      <c r="H21" s="8" t="s">
        <v>21</v>
      </c>
      <c r="I21" s="26"/>
      <c r="J21" s="10">
        <f t="shared" si="0"/>
        <v>4.0000000000000003E-5</v>
      </c>
      <c r="K21" s="32" t="str">
        <f t="shared" si="1"/>
        <v>-I</v>
      </c>
      <c r="M21" s="31">
        <f t="shared" si="7"/>
        <v>0.99995999999999996</v>
      </c>
      <c r="N21" s="10">
        <f t="shared" si="8"/>
        <v>0.99995999999999996</v>
      </c>
      <c r="O21" s="10">
        <f t="shared" si="9"/>
        <v>8.0000000000000007E-5</v>
      </c>
      <c r="P21" s="10">
        <f t="shared" si="10"/>
        <v>8.0000000000000007E-5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12" t="b">
        <f t="shared" si="6"/>
        <v>0</v>
      </c>
    </row>
    <row r="22" spans="2:20" ht="15.75" customHeight="1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26">
        <v>4.0000000000000001E-3</v>
      </c>
      <c r="H22" s="8" t="s">
        <v>21</v>
      </c>
      <c r="I22" s="26"/>
      <c r="J22" s="10">
        <f t="shared" si="0"/>
        <v>4.0000000000000001E-3</v>
      </c>
      <c r="K22" s="32" t="str">
        <f t="shared" si="1"/>
        <v>-I</v>
      </c>
      <c r="M22" s="31">
        <f t="shared" si="7"/>
        <v>0.996</v>
      </c>
      <c r="N22" s="10">
        <f t="shared" si="8"/>
        <v>0.996</v>
      </c>
      <c r="O22" s="10">
        <f t="shared" si="9"/>
        <v>8.0000000000000002E-3</v>
      </c>
      <c r="P22" s="10">
        <f t="shared" si="10"/>
        <v>8.0000000000000002E-3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6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tabSelected="1" workbookViewId="0">
      <selection activeCell="G3" sqref="G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76</v>
      </c>
      <c r="D2" s="1" t="str">
        <f>IFERROR(1-PRODUCT(G7:G14),"GR")</f>
        <v>GR</v>
      </c>
      <c r="E2" t="str">
        <f>IF(D2="GR","-",INDEX('Normen en duidingsklassen'!$D$4:$D$8,H2))</f>
        <v>-</v>
      </c>
      <c r="G2">
        <f t="array" ref="G2">MIN(IF('Normen en duidingsklassen'!$E$4:$E$8&gt;D2,'Normen en duidingsklassen'!$F$4:$F$8))</f>
        <v>0</v>
      </c>
      <c r="H2">
        <f>IFERROR(MATCH(G2,'Normen en duidingsklassen'!$F$4:$F$8),1)</f>
        <v>3</v>
      </c>
    </row>
    <row r="3" spans="2:8" x14ac:dyDescent="0.25">
      <c r="B3" s="2" t="s">
        <v>75</v>
      </c>
      <c r="D3" s="1">
        <f>1-PRODUCT(H7:H14)</f>
        <v>3.7572465145040645E-2</v>
      </c>
      <c r="E3" t="str">
        <f>INDEX('Normen en duidingsklassen'!$D$4:$D$8,H3)</f>
        <v>B</v>
      </c>
      <c r="G3">
        <f t="array" ref="G3">MIN(IF('Normen en duidingsklassen'!$E$4:$E$8&gt;D3,'Normen en duidingsklassen'!$F$4:$F$8))</f>
        <v>0</v>
      </c>
      <c r="H3">
        <f>IFERROR(MATCH(G3,'Normen en duidingsklassen'!$F$4:$F$8),1)</f>
        <v>3</v>
      </c>
    </row>
    <row r="5" spans="2:8" ht="15.75" thickBot="1" x14ac:dyDescent="0.3">
      <c r="G5" s="2" t="s">
        <v>65</v>
      </c>
    </row>
    <row r="6" spans="2:8" ht="15.75" thickBot="1" x14ac:dyDescent="0.3">
      <c r="B6" s="44"/>
      <c r="C6" s="36" t="s">
        <v>47</v>
      </c>
      <c r="D6" s="48" t="s">
        <v>41</v>
      </c>
      <c r="E6" s="50" t="s">
        <v>77</v>
      </c>
      <c r="G6" s="35" t="s">
        <v>78</v>
      </c>
      <c r="H6" s="35" t="s">
        <v>79</v>
      </c>
    </row>
    <row r="7" spans="2:8" x14ac:dyDescent="0.25">
      <c r="B7" s="40" t="s">
        <v>69</v>
      </c>
      <c r="C7" s="29" t="str">
        <f>STPH!C5</f>
        <v>GR</v>
      </c>
      <c r="D7" s="25">
        <f>STPH!C6</f>
        <v>3.0440911317815011E-3</v>
      </c>
      <c r="E7" s="49"/>
      <c r="G7" s="1" t="e">
        <f>IF(ISNUMBER(E7),1-E7,1-C7)</f>
        <v>#VALUE!</v>
      </c>
      <c r="H7" s="1">
        <f>IF(ISNUMBER(E7),1-E7,1-D7)</f>
        <v>0.9969559088682185</v>
      </c>
    </row>
    <row r="8" spans="2:8" x14ac:dyDescent="0.25">
      <c r="B8" s="40" t="s">
        <v>70</v>
      </c>
      <c r="C8" s="31" t="str">
        <f>STBI!C5</f>
        <v>GR</v>
      </c>
      <c r="D8" s="26">
        <f>STBI!C6</f>
        <v>1.1238044587088547E-3</v>
      </c>
      <c r="E8" s="49"/>
      <c r="G8" s="1" t="e">
        <f t="shared" ref="G8:G13" si="0">IF(ISNUMBER(E8),1-E8,1-C8)</f>
        <v>#VALUE!</v>
      </c>
      <c r="H8" s="1">
        <f t="shared" ref="H8:H13" si="1">IF(ISNUMBER(E8),1-E8,1-D8)</f>
        <v>0.99887619554129115</v>
      </c>
    </row>
    <row r="9" spans="2:8" x14ac:dyDescent="0.25">
      <c r="B9" s="40" t="s">
        <v>71</v>
      </c>
      <c r="C9" s="31">
        <f>GEKB!C5</f>
        <v>0</v>
      </c>
      <c r="D9" s="26">
        <f>GEKB!C6</f>
        <v>0</v>
      </c>
      <c r="E9" s="49"/>
      <c r="G9" s="1">
        <f t="shared" si="0"/>
        <v>1</v>
      </c>
      <c r="H9" s="1">
        <f t="shared" si="1"/>
        <v>1</v>
      </c>
    </row>
    <row r="10" spans="2:8" x14ac:dyDescent="0.25">
      <c r="B10" s="40" t="s">
        <v>72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73</v>
      </c>
      <c r="C11" s="31">
        <f>STKWp!C5</f>
        <v>1.9961410016728909E-3</v>
      </c>
      <c r="D11" s="26">
        <f>STKWp!C6</f>
        <v>1.9961410016728909E-3</v>
      </c>
      <c r="E11" s="49"/>
      <c r="G11" s="1">
        <f t="shared" si="0"/>
        <v>0.99800385899832711</v>
      </c>
      <c r="H11" s="1">
        <f t="shared" si="1"/>
        <v>0.99800385899832711</v>
      </c>
    </row>
    <row r="12" spans="2:8" x14ac:dyDescent="0.25">
      <c r="B12" s="40" t="s">
        <v>74</v>
      </c>
      <c r="C12" s="31">
        <f>HTKW!C5</f>
        <v>2.8437656524269217E-2</v>
      </c>
      <c r="D12" s="26">
        <f>HTKW!C6</f>
        <v>2.8437656524269217E-2</v>
      </c>
      <c r="E12" s="49"/>
      <c r="G12" s="1">
        <f t="shared" si="0"/>
        <v>0.97156234347573078</v>
      </c>
      <c r="H12" s="1">
        <f t="shared" si="1"/>
        <v>0.97156234347573078</v>
      </c>
    </row>
    <row r="13" spans="2:8" x14ac:dyDescent="0.25">
      <c r="B13" s="40" t="s">
        <v>93</v>
      </c>
      <c r="C13" s="31" t="str">
        <f>BSKW!C5</f>
        <v>GR</v>
      </c>
      <c r="D13" s="26">
        <f>BSKW!C6</f>
        <v>3.2699999999999999E-3</v>
      </c>
      <c r="E13" s="49"/>
      <c r="G13" s="1" t="e">
        <f t="shared" si="0"/>
        <v>#VALUE!</v>
      </c>
      <c r="H13" s="1">
        <f t="shared" si="1"/>
        <v>0.99673</v>
      </c>
    </row>
    <row r="14" spans="2:8" ht="15.75" thickBot="1" x14ac:dyDescent="0.3">
      <c r="B14" s="41"/>
      <c r="C14" s="33"/>
      <c r="D14" s="27"/>
      <c r="E14" s="51"/>
      <c r="G14" s="1"/>
      <c r="H14" s="1"/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workbookViewId="0">
      <selection activeCell="D3" sqref="D3:E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106</v>
      </c>
      <c r="E2" s="68" t="s">
        <v>110</v>
      </c>
      <c r="F2" s="53" t="s">
        <v>69</v>
      </c>
      <c r="G2" s="53" t="s">
        <v>70</v>
      </c>
      <c r="H2" s="53" t="s">
        <v>71</v>
      </c>
      <c r="I2" s="53" t="s">
        <v>72</v>
      </c>
      <c r="J2" s="53" t="s">
        <v>73</v>
      </c>
      <c r="K2" s="53" t="s">
        <v>93</v>
      </c>
      <c r="L2" s="54" t="s">
        <v>74</v>
      </c>
    </row>
    <row r="3" spans="2:12" x14ac:dyDescent="0.25">
      <c r="B3" s="3">
        <v>0</v>
      </c>
      <c r="C3" s="9">
        <v>2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+III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+III</v>
      </c>
      <c r="F3" s="4" t="str">
        <f t="array" ref="F3">INDEX(STPH!$O$11:$O$30,IFERROR(MATCH(MIN(IF(STPH!$D$11:$D$30&gt;AVERAGE(B3,C3),STPH!$D$11:$D$30)),STPH!$D$11:$D$30),1))</f>
        <v>ND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NR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INDEX(STKWp!$K$11:$K$30,IFERROR(MATCH(MIN(IF(STKWp!$D$11:$D$30&gt;AVERAGE(B3,C3),STKWp!$D$11:$D$30)),STKWp!$D$11:$D$30),1))</f>
        <v>ND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ND</v>
      </c>
    </row>
    <row r="4" spans="2:12" x14ac:dyDescent="0.25">
      <c r="B4" s="8">
        <v>2</v>
      </c>
      <c r="C4" s="9">
        <v>4</v>
      </c>
      <c r="D4" s="23" t="str">
        <f t="shared" ref="D4:D14" si="0"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-I</v>
      </c>
      <c r="E4" s="23" t="str">
        <f t="shared" ref="E4:E14" si="1"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-I</v>
      </c>
      <c r="F4" s="9" t="str">
        <f t="array" ref="F4">INDEX(STPH!$O$11:$O$30,IFERROR(MATCH(MIN(IF(STPH!$D$11:$D$30&gt;AVERAGE(B4,C4),STPH!$D$11:$D$30)),STPH!$D$11:$D$30),1))</f>
        <v>+III</v>
      </c>
      <c r="G4" s="9" t="str">
        <f t="array" ref="G4">INDEX(STBI!$O$11:$O$30,IFERROR(MATCH(MIN(IF(STBI!$D$11:$D$30&gt;AVERAGE(B4,C4),STBI!$D$11:$D$30)),STBI!$D$11:$D$30),1))</f>
        <v>-I</v>
      </c>
      <c r="H4" s="9" t="str">
        <f t="array" ref="H4">INDEX(GEKB!$K$11:$K$30,IFERROR(MATCH(MIN(IF(GEKB!$D$11:$D$30&gt;AVERAGE(B4,C4),GEKB!$D$11:$D$30)),GEKB!$D$11:$D$30),1))</f>
        <v>NR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INDEX(STKWp!$K$11:$K$30,IFERROR(MATCH(MIN(IF(STKWp!$D$11:$D$30&gt;AVERAGE(B4,C4),STKWp!$D$11:$D$30)),STKWp!$D$11:$D$30),1))</f>
        <v>+III</v>
      </c>
      <c r="K4" s="9" t="str">
        <f t="array" ref="K4">INDEX(BSKW!$K$11:$K$30,IFERROR(MATCH(MIN(IF(BSKW!$D$11:$D$30&gt;AVERAGE(B4,C4),BSKW!$D$11:$D$30)),BSKW!$D$11:$D$30),1))</f>
        <v>ND</v>
      </c>
      <c r="L4" s="12" t="str">
        <f t="array" ref="L4">INDEX(HTKW!$K$11:$K$30,IFERROR(MATCH(MIN(IF(HTKW!$D$11:$D$30&gt;AVERAGE(B4,C4),HTKW!$D$11:$D$30)),HTKW!$D$11:$D$30),1))</f>
        <v>+III</v>
      </c>
    </row>
    <row r="5" spans="2:12" x14ac:dyDescent="0.25">
      <c r="B5" s="8">
        <v>4</v>
      </c>
      <c r="C5" s="9">
        <v>6</v>
      </c>
      <c r="D5" s="23" t="str">
        <f t="shared" si="0"/>
        <v>-I</v>
      </c>
      <c r="E5" s="23" t="str">
        <f t="shared" si="1"/>
        <v>-I</v>
      </c>
      <c r="F5" s="9" t="str">
        <f t="array" ref="F5">INDEX(STPH!$O$11:$O$30,IFERROR(MATCH(MIN(IF(STPH!$D$11:$D$30&gt;AVERAGE(B5,C5),STPH!$D$11:$D$30)),STPH!$D$11:$D$30),1))</f>
        <v>+III</v>
      </c>
      <c r="G5" s="9" t="str">
        <f t="array" ref="G5">INDEX(STBI!$O$11:$O$30,IFERROR(MATCH(MIN(IF(STBI!$D$11:$D$30&gt;AVERAGE(B5,C5),STBI!$D$11:$D$30)),STBI!$D$11:$D$30),1))</f>
        <v>-I</v>
      </c>
      <c r="H5" s="9" t="str">
        <f t="array" ref="H5">INDEX(GEKB!$K$11:$K$30,IFERROR(MATCH(MIN(IF(GEKB!$D$11:$D$30&gt;AVERAGE(B5,C5),GEKB!$D$11:$D$30)),GEKB!$D$11:$D$30),1))</f>
        <v>NR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INDEX(STKWp!$K$11:$K$30,IFERROR(MATCH(MIN(IF(STKWp!$D$11:$D$30&gt;AVERAGE(B5,C5),STKWp!$D$11:$D$30)),STKWp!$D$11:$D$30),1))</f>
        <v>-I</v>
      </c>
      <c r="K5" s="9" t="str">
        <f t="array" ref="K5">INDEX(BSKW!$K$11:$K$30,IFERROR(MATCH(MIN(IF(BSKW!$D$11:$D$30&gt;AVERAGE(B5,C5),BSKW!$D$11:$D$30)),BSKW!$D$11:$D$30),1))</f>
        <v>+III</v>
      </c>
      <c r="L5" s="12" t="str">
        <f t="array" ref="L5">INDEX(HTKW!$K$11:$K$30,IFERROR(MATCH(MIN(IF(HTKW!$D$11:$D$30&gt;AVERAGE(B5,C5),HTKW!$D$11:$D$30)),HTKW!$D$11:$D$30),1))</f>
        <v>-I</v>
      </c>
    </row>
    <row r="6" spans="2:12" x14ac:dyDescent="0.25">
      <c r="B6" s="8">
        <v>6</v>
      </c>
      <c r="C6" s="9">
        <v>8</v>
      </c>
      <c r="D6" s="23" t="str">
        <f t="shared" si="0"/>
        <v>D</v>
      </c>
      <c r="E6" s="23" t="str">
        <f t="shared" si="1"/>
        <v>-I</v>
      </c>
      <c r="F6" s="9" t="str">
        <f t="array" ref="F6">INDEX(STPH!$O$11:$O$30,IFERROR(MATCH(MIN(IF(STPH!$D$11:$D$30&gt;AVERAGE(B6,C6),STPH!$D$11:$D$30)),STPH!$D$11:$D$30),1))</f>
        <v>D</v>
      </c>
      <c r="G6" s="9" t="str">
        <f t="array" ref="G6">INDEX(STBI!$O$11:$O$30,IFERROR(MATCH(MIN(IF(STBI!$D$11:$D$30&gt;AVERAGE(B6,C6),STBI!$D$11:$D$30)),STBI!$D$11:$D$30),1))</f>
        <v>NR</v>
      </c>
      <c r="H6" s="9" t="str">
        <f t="array" ref="H6">INDEX(GEKB!$K$11:$K$30,IFERROR(MATCH(MIN(IF(GEKB!$D$11:$D$30&gt;AVERAGE(B6,C6),GEKB!$D$11:$D$30)),GEKB!$D$11:$D$30),1))</f>
        <v>NR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INDEX(STKWp!$K$11:$K$30,IFERROR(MATCH(MIN(IF(STKWp!$D$11:$D$30&gt;AVERAGE(B6,C6),STKWp!$D$11:$D$30)),STKWp!$D$11:$D$30),1))</f>
        <v>-I</v>
      </c>
      <c r="K6" s="9" t="str">
        <f t="array" ref="K6">INDEX(BSKW!$K$11:$K$30,IFERROR(MATCH(MIN(IF(BSKW!$D$11:$D$30&gt;AVERAGE(B6,C6),BSKW!$D$11:$D$30)),BSKW!$D$11:$D$30),1))</f>
        <v>-I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8</v>
      </c>
      <c r="C7" s="9">
        <v>10</v>
      </c>
      <c r="D7" s="23" t="str">
        <f t="shared" si="0"/>
        <v>-I</v>
      </c>
      <c r="E7" s="23" t="str">
        <f t="shared" si="1"/>
        <v>-I</v>
      </c>
      <c r="F7" s="9" t="str">
        <f t="array" ref="F7">INDEX(STPH!$O$11:$O$30,IFERROR(MATCH(MIN(IF(STPH!$D$11:$D$30&gt;AVERAGE(B7,C7),STPH!$D$11:$D$30)),STPH!$D$11:$D$30),1))</f>
        <v>-I</v>
      </c>
      <c r="G7" s="9" t="str">
        <f t="array" ref="G7">INDEX(STBI!$O$11:$O$30,IFERROR(MATCH(MIN(IF(STBI!$D$11:$D$30&gt;AVERAGE(B7,C7),STBI!$D$11:$D$30)),STBI!$D$11:$D$30),1))</f>
        <v>-I</v>
      </c>
      <c r="H7" s="9" t="str">
        <f t="array" ref="H7">INDEX(GEKB!$K$11:$K$30,IFERROR(MATCH(MIN(IF(GEKB!$D$11:$D$30&gt;AVERAGE(B7,C7),GEKB!$D$11:$D$30)),GEKB!$D$11:$D$30),1))</f>
        <v>NR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INDEX(STKWp!$K$11:$K$30,IFERROR(MATCH(MIN(IF(STKWp!$D$11:$D$30&gt;AVERAGE(B7,C7),STKWp!$D$11:$D$30)),STKWp!$D$11:$D$30),1))</f>
        <v>-I</v>
      </c>
      <c r="K7" s="9" t="str">
        <f t="array" ref="K7">INDEX(BSKW!$K$11:$K$30,IFERROR(MATCH(MIN(IF(BSKW!$D$11:$D$30&gt;AVERAGE(B7,C7),BSKW!$D$11:$D$30)),BSKW!$D$11:$D$30),1))</f>
        <v>-I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10</v>
      </c>
      <c r="C8" s="9">
        <v>12</v>
      </c>
      <c r="D8" s="23" t="str">
        <f t="shared" si="0"/>
        <v>-I</v>
      </c>
      <c r="E8" s="23" t="str">
        <f t="shared" si="1"/>
        <v>-I</v>
      </c>
      <c r="F8" s="9" t="str">
        <f t="array" ref="F8">INDEX(STPH!$O$11:$O$30,IFERROR(MATCH(MIN(IF(STPH!$D$11:$D$30&gt;AVERAGE(B8,C8),STPH!$D$11:$D$30)),STPH!$D$11:$D$30),1))</f>
        <v>NR</v>
      </c>
      <c r="G8" s="9" t="str">
        <f t="array" ref="G8">INDEX(STBI!$O$11:$O$30,IFERROR(MATCH(MIN(IF(STBI!$D$11:$D$30&gt;AVERAGE(B8,C8),STBI!$D$11:$D$30)),STBI!$D$11:$D$30),1))</f>
        <v>NR</v>
      </c>
      <c r="H8" s="9" t="str">
        <f t="array" ref="H8">INDEX(GEKB!$K$11:$K$30,IFERROR(MATCH(MIN(IF(GEKB!$D$11:$D$30&gt;AVERAGE(B8,C8),GEKB!$D$11:$D$30)),GEKB!$D$11:$D$30),1))</f>
        <v>NR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-I</v>
      </c>
    </row>
    <row r="9" spans="2:12" x14ac:dyDescent="0.25">
      <c r="B9" s="8">
        <v>12</v>
      </c>
      <c r="C9" s="9">
        <v>14</v>
      </c>
      <c r="D9" s="23" t="str">
        <f t="shared" si="0"/>
        <v>-I</v>
      </c>
      <c r="E9" s="23" t="str">
        <f t="shared" si="1"/>
        <v>-I</v>
      </c>
      <c r="F9" s="9" t="str">
        <f t="array" ref="F9">INDEX(STPH!$O$11:$O$30,IFERROR(MATCH(MIN(IF(STPH!$D$11:$D$30&gt;AVERAGE(B9,C9),STPH!$D$11:$D$30)),STPH!$D$11:$D$30),1))</f>
        <v>NR</v>
      </c>
      <c r="G9" s="9" t="str">
        <f t="array" ref="G9">INDEX(STBI!$O$11:$O$30,IFERROR(MATCH(MIN(IF(STBI!$D$11:$D$30&gt;AVERAGE(B9,C9),STBI!$D$11:$D$30)),STBI!$D$11:$D$30),1))</f>
        <v>-I</v>
      </c>
      <c r="H9" s="9" t="str">
        <f t="array" ref="H9">INDEX(GEKB!$K$11:$K$30,IFERROR(MATCH(MIN(IF(GEKB!$D$11:$D$30&gt;AVERAGE(B9,C9),GEKB!$D$11:$D$30)),GEKB!$D$11:$D$30),1))</f>
        <v>NR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INDEX(STKWp!$K$11:$K$30,IFERROR(MATCH(MIN(IF(STKWp!$D$11:$D$30&gt;AVERAGE(B9,C9),STKWp!$D$11:$D$30)),STKWp!$D$11:$D$30),1))</f>
        <v>-I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-I</v>
      </c>
    </row>
    <row r="10" spans="2:12" x14ac:dyDescent="0.25">
      <c r="B10" s="8">
        <v>14</v>
      </c>
      <c r="C10" s="9">
        <v>16</v>
      </c>
      <c r="D10" s="23" t="str">
        <f t="shared" si="0"/>
        <v>-I</v>
      </c>
      <c r="E10" s="23" t="str">
        <f t="shared" si="1"/>
        <v>-I</v>
      </c>
      <c r="F10" s="9" t="str">
        <f t="array" ref="F10">INDEX(STPH!$O$11:$O$30,IFERROR(MATCH(MIN(IF(STPH!$D$11:$D$30&gt;AVERAGE(B10,C10),STPH!$D$11:$D$30)),STPH!$D$11:$D$30),1))</f>
        <v>NR</v>
      </c>
      <c r="G10" s="9" t="str">
        <f t="array" ref="G10">INDEX(STBI!$O$11:$O$30,IFERROR(MATCH(MIN(IF(STBI!$D$11:$D$30&gt;AVERAGE(B10,C10),STBI!$D$11:$D$30)),STBI!$D$11:$D$30),1))</f>
        <v>-I</v>
      </c>
      <c r="H10" s="9" t="str">
        <f t="array" ref="H10">INDEX(GEKB!$K$11:$K$30,IFERROR(MATCH(MIN(IF(GEKB!$D$11:$D$30&gt;AVERAGE(B10,C10),GEKB!$D$11:$D$30)),GEKB!$D$11:$D$30),1))</f>
        <v>NR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INDEX(STKWp!$K$11:$K$30,IFERROR(MATCH(MIN(IF(STKWp!$D$11:$D$30&gt;AVERAGE(B10,C10),STKWp!$D$11:$D$30)),STKWp!$D$11:$D$30),1))</f>
        <v>-I</v>
      </c>
      <c r="K10" s="9" t="str">
        <f t="array" ref="K10">INDEX(BSKW!$K$11:$K$30,IFERROR(MATCH(MIN(IF(BSKW!$D$11:$D$30&gt;AVERAGE(B10,C10),BSKW!$D$11:$D$30)),BSKW!$D$11:$D$30),1))</f>
        <v>+III</v>
      </c>
      <c r="L10" s="12" t="str">
        <f t="array" ref="L10">INDEX(HTKW!$K$11:$K$30,IFERROR(MATCH(MIN(IF(HTKW!$D$11:$D$30&gt;AVERAGE(B10,C10),HTKW!$D$11:$D$30)),HTKW!$D$11:$D$30),1))</f>
        <v>-I</v>
      </c>
    </row>
    <row r="11" spans="2:12" x14ac:dyDescent="0.25">
      <c r="B11" s="8">
        <v>16</v>
      </c>
      <c r="C11" s="9">
        <v>18</v>
      </c>
      <c r="D11" s="23" t="str">
        <f t="shared" si="0"/>
        <v>D</v>
      </c>
      <c r="E11" s="23" t="str">
        <f t="shared" si="1"/>
        <v>-I</v>
      </c>
      <c r="F11" s="9" t="str">
        <f t="array" ref="F11">INDEX(STPH!$O$11:$O$30,IFERROR(MATCH(MIN(IF(STPH!$D$11:$D$30&gt;AVERAGE(B11,C11),STPH!$D$11:$D$30)),STPH!$D$11:$D$30),1))</f>
        <v>-I</v>
      </c>
      <c r="G11" s="9" t="str">
        <f t="array" ref="G11">INDEX(STBI!$O$11:$O$30,IFERROR(MATCH(MIN(IF(STBI!$D$11:$D$30&gt;AVERAGE(B11,C11),STBI!$D$11:$D$30)),STBI!$D$11:$D$30),1))</f>
        <v>D</v>
      </c>
      <c r="H11" s="9" t="str">
        <f t="array" ref="H11">INDEX(GEKB!$K$11:$K$30,IFERROR(MATCH(MIN(IF(GEKB!$D$11:$D$30&gt;AVERAGE(B11,C11),GEKB!$D$11:$D$30)),GEKB!$D$11:$D$30),1))</f>
        <v>NR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INDEX(STKWp!$K$11:$K$30,IFERROR(MATCH(MIN(IF(STKWp!$D$11:$D$30&gt;AVERAGE(B11,C11),STKWp!$D$11:$D$30)),STKWp!$D$11:$D$30),1))</f>
        <v>-I</v>
      </c>
      <c r="K11" s="9" t="str">
        <f t="array" ref="K11">INDEX(BSKW!$K$11:$K$30,IFERROR(MATCH(MIN(IF(BSKW!$D$11:$D$30&gt;AVERAGE(B11,C11),BSKW!$D$11:$D$30)),BSKW!$D$11:$D$30),1))</f>
        <v>D</v>
      </c>
      <c r="L11" s="12" t="str">
        <f t="array" ref="L11">INDEX(HTKW!$K$11:$K$30,IFERROR(MATCH(MIN(IF(HTKW!$D$11:$D$30&gt;AVERAGE(B11,C11),HTKW!$D$11:$D$30)),HTKW!$D$11:$D$30),1))</f>
        <v>-I</v>
      </c>
    </row>
    <row r="12" spans="2:12" x14ac:dyDescent="0.25">
      <c r="B12" s="8">
        <v>18</v>
      </c>
      <c r="C12" s="9">
        <v>20</v>
      </c>
      <c r="D12" s="23" t="str">
        <f t="shared" si="0"/>
        <v>-I</v>
      </c>
      <c r="E12" s="23" t="str">
        <f t="shared" si="1"/>
        <v>-I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INDEX(GEKB!$K$11:$K$30,IFERROR(MATCH(MIN(IF(GEKB!$D$11:$D$30&gt;AVERAGE(B12,C12),GEKB!$D$11:$D$30)),GEKB!$D$11:$D$30),1))</f>
        <v>NR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INDEX(STKWp!$K$11:$K$30,IFERROR(MATCH(MIN(IF(STKWp!$D$11:$D$30&gt;AVERAGE(B12,C12),STKWp!$D$11:$D$30)),STKWp!$D$11:$D$30),1))</f>
        <v>+III</v>
      </c>
      <c r="K12" s="9" t="str">
        <f t="array" ref="K12">INDEX(BSKW!$K$11:$K$30,IFERROR(MATCH(MIN(IF(BSKW!$D$11:$D$30&gt;AVERAGE(B12,C12),BSKW!$D$11:$D$30)),BSKW!$D$11:$D$30),1))</f>
        <v>-I</v>
      </c>
      <c r="L12" s="12" t="str">
        <f t="array" ref="L12">INDEX(HTKW!$K$11:$K$30,IFERROR(MATCH(MIN(IF(HTKW!$D$11:$D$30&gt;AVERAGE(B12,C12),HTKW!$D$11:$D$30)),HTKW!$D$11:$D$30),1))</f>
        <v>-I</v>
      </c>
    </row>
    <row r="13" spans="2:12" x14ac:dyDescent="0.25">
      <c r="B13" s="8">
        <v>20</v>
      </c>
      <c r="C13" s="9">
        <v>22</v>
      </c>
      <c r="D13" s="23" t="str">
        <f t="shared" si="0"/>
        <v>-I</v>
      </c>
      <c r="E13" s="23" t="str">
        <f t="shared" si="1"/>
        <v>-I</v>
      </c>
      <c r="F13" s="9" t="str">
        <f t="array" ref="F13">INDEX(STPH!$O$11:$O$30,IFERROR(MATCH(MIN(IF(STPH!$D$11:$D$30&gt;AVERAGE(B13,C13),STPH!$D$11:$D$30)),STPH!$D$11:$D$30),1))</f>
        <v>-I</v>
      </c>
      <c r="G13" s="9" t="str">
        <f t="array" ref="G13">INDEX(STBI!$O$11:$O$30,IFERROR(MATCH(MIN(IF(STBI!$D$11:$D$30&gt;AVERAGE(B13,C13),STBI!$D$11:$D$30)),STBI!$D$11:$D$30),1))</f>
        <v>-I</v>
      </c>
      <c r="H13" s="9" t="str">
        <f t="array" ref="H13">INDEX(GEKB!$K$11:$K$30,IFERROR(MATCH(MIN(IF(GEKB!$D$11:$D$30&gt;AVERAGE(B13,C13),GEKB!$D$11:$D$30)),GEKB!$D$11:$D$30),1))</f>
        <v>NR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INDEX(STKWp!$K$11:$K$30,IFERROR(MATCH(MIN(IF(STKWp!$D$11:$D$30&gt;AVERAGE(B13,C13),STKWp!$D$11:$D$30)),STKWp!$D$11:$D$30),1))</f>
        <v>+III</v>
      </c>
      <c r="K13" s="9" t="str">
        <f t="array" ref="K13">INDEX(BSKW!$K$11:$K$30,IFERROR(MATCH(MIN(IF(BSKW!$D$11:$D$30&gt;AVERAGE(B13,C13),BSKW!$D$11:$D$30)),BSKW!$D$11:$D$30),1))</f>
        <v>-I</v>
      </c>
      <c r="L13" s="12" t="str">
        <f t="array" ref="L13">INDEX(HTKW!$K$11:$K$30,IFERROR(MATCH(MIN(IF(HTKW!$D$11:$D$30&gt;AVERAGE(B13,C13),HTKW!$D$11:$D$30)),HTKW!$D$11:$D$30),1))</f>
        <v>-I</v>
      </c>
    </row>
    <row r="14" spans="2:12" x14ac:dyDescent="0.25">
      <c r="B14" s="8">
        <v>22</v>
      </c>
      <c r="C14" s="9">
        <v>24</v>
      </c>
      <c r="D14" s="23" t="str">
        <f t="shared" si="0"/>
        <v>-I</v>
      </c>
      <c r="E14" s="23" t="str">
        <f t="shared" si="1"/>
        <v>-I</v>
      </c>
      <c r="F14" s="9" t="str">
        <f t="array" ref="F14">INDEX(STPH!$O$11:$O$30,IFERROR(MATCH(MIN(IF(STPH!$D$11:$D$30&gt;AVERAGE(B14,C14),STPH!$D$11:$D$30)),STPH!$D$11:$D$30),1))</f>
        <v>-I</v>
      </c>
      <c r="G14" s="9" t="str">
        <f t="array" ref="G14">INDEX(STBI!$O$11:$O$30,IFERROR(MATCH(MIN(IF(STBI!$D$11:$D$30&gt;AVERAGE(B14,C14),STBI!$D$11:$D$30)),STBI!$D$11:$D$30),1))</f>
        <v>-I</v>
      </c>
      <c r="H14" s="9" t="str">
        <f t="array" ref="H14">INDEX(GEKB!$K$11:$K$30,IFERROR(MATCH(MIN(IF(GEKB!$D$11:$D$30&gt;AVERAGE(B14,C14),GEKB!$D$11:$D$30)),GEKB!$D$11:$D$30),1))</f>
        <v>NR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-I</v>
      </c>
      <c r="L14" s="12" t="str">
        <f t="array" ref="L14">INDEX(HTKW!$K$11:$K$30,IFERROR(MATCH(MIN(IF(HTKW!$D$11:$D$30&gt;AVERAGE(B14,C14),HTKW!$D$11:$D$30)),HTKW!$D$11:$D$30),1))</f>
        <v>-I</v>
      </c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2022-03-11T12:14:13Z</dcterms:modified>
</cp:coreProperties>
</file>