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D13E34FD-1B2B-41A0-AADA-88E503892141}" xr6:coauthVersionLast="45" xr6:coauthVersionMax="45" xr10:uidLastSave="{00000000-0000-0000-0000-000000000000}"/>
  <bookViews>
    <workbookView xWindow="-120" yWindow="-120" windowWidth="29040" windowHeight="15840" tabRatio="653" firstSheet="1" activeTab="4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F12" i="7" l="1"/>
  <c r="F13" i="7"/>
  <c r="F11" i="7"/>
  <c r="F10" i="7"/>
  <c r="F9" i="7"/>
  <c r="F8" i="7"/>
  <c r="F7" i="7"/>
  <c r="M16" i="5" l="1"/>
  <c r="C12" i="14" l="1"/>
  <c r="C11" i="14"/>
  <c r="C10" i="14"/>
  <c r="C9" i="14"/>
  <c r="C12" i="10"/>
  <c r="C11" i="10"/>
  <c r="C10" i="10"/>
  <c r="C9" i="10"/>
  <c r="C12" i="3"/>
  <c r="C11" i="3"/>
  <c r="C10" i="3"/>
  <c r="C9" i="3"/>
  <c r="C12" i="2"/>
  <c r="C11" i="2"/>
  <c r="C10" i="2"/>
  <c r="C9" i="2"/>
  <c r="C7" i="14" l="1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U29" i="14"/>
  <c r="V29" i="14"/>
  <c r="U30" i="14"/>
  <c r="V30" i="14"/>
  <c r="U31" i="14"/>
  <c r="V31" i="14"/>
  <c r="U32" i="14"/>
  <c r="V32" i="14"/>
  <c r="U33" i="14"/>
  <c r="V33" i="14"/>
  <c r="U34" i="14"/>
  <c r="V34" i="14"/>
  <c r="U35" i="14"/>
  <c r="V35" i="14"/>
  <c r="U36" i="14"/>
  <c r="V36" i="14"/>
  <c r="U37" i="14"/>
  <c r="V37" i="14"/>
  <c r="U38" i="14"/>
  <c r="V38" i="14"/>
  <c r="U39" i="14"/>
  <c r="V39" i="14"/>
  <c r="U40" i="14"/>
  <c r="V40" i="14"/>
  <c r="U41" i="14"/>
  <c r="V41" i="14"/>
  <c r="U42" i="14"/>
  <c r="V42" i="14"/>
  <c r="U43" i="14"/>
  <c r="V43" i="14"/>
  <c r="U44" i="14"/>
  <c r="V44" i="14"/>
  <c r="U45" i="14"/>
  <c r="V45" i="14"/>
  <c r="U46" i="14"/>
  <c r="V46" i="14"/>
  <c r="U47" i="14"/>
  <c r="V47" i="14"/>
  <c r="U48" i="14"/>
  <c r="V48" i="14"/>
  <c r="U49" i="14"/>
  <c r="V49" i="14"/>
  <c r="U50" i="14"/>
  <c r="V50" i="14"/>
  <c r="U51" i="14"/>
  <c r="V51" i="14"/>
  <c r="U52" i="14"/>
  <c r="V52" i="14"/>
  <c r="U53" i="14"/>
  <c r="V53" i="14"/>
  <c r="U54" i="14"/>
  <c r="V54" i="14"/>
  <c r="U55" i="14"/>
  <c r="V55" i="14"/>
  <c r="U56" i="14"/>
  <c r="V56" i="14"/>
  <c r="U57" i="14"/>
  <c r="V57" i="14"/>
  <c r="U58" i="14"/>
  <c r="V58" i="14"/>
  <c r="U59" i="14"/>
  <c r="V59" i="14"/>
  <c r="U60" i="14"/>
  <c r="V60" i="14"/>
  <c r="U61" i="14"/>
  <c r="V61" i="14"/>
  <c r="U62" i="14"/>
  <c r="V62" i="14"/>
  <c r="V16" i="14"/>
  <c r="U16" i="14"/>
  <c r="C8" i="14"/>
  <c r="C7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U32" i="10"/>
  <c r="V32" i="10"/>
  <c r="U33" i="10"/>
  <c r="V33" i="10"/>
  <c r="U34" i="10"/>
  <c r="V34" i="10"/>
  <c r="U35" i="10"/>
  <c r="V35" i="10"/>
  <c r="U36" i="10"/>
  <c r="V36" i="10"/>
  <c r="U37" i="10"/>
  <c r="V37" i="10"/>
  <c r="U38" i="10"/>
  <c r="V38" i="10"/>
  <c r="U39" i="10"/>
  <c r="V39" i="10"/>
  <c r="U40" i="10"/>
  <c r="V40" i="10"/>
  <c r="U41" i="10"/>
  <c r="V41" i="10"/>
  <c r="U42" i="10"/>
  <c r="V42" i="10"/>
  <c r="U43" i="10"/>
  <c r="V43" i="10"/>
  <c r="U44" i="10"/>
  <c r="V44" i="10"/>
  <c r="U45" i="10"/>
  <c r="V45" i="10"/>
  <c r="U46" i="10"/>
  <c r="V46" i="10"/>
  <c r="U47" i="10"/>
  <c r="V47" i="10"/>
  <c r="U48" i="10"/>
  <c r="V48" i="10"/>
  <c r="U49" i="10"/>
  <c r="V49" i="10"/>
  <c r="U50" i="10"/>
  <c r="V50" i="10"/>
  <c r="U51" i="10"/>
  <c r="V51" i="10"/>
  <c r="U52" i="10"/>
  <c r="V52" i="10"/>
  <c r="U53" i="10"/>
  <c r="V53" i="10"/>
  <c r="U54" i="10"/>
  <c r="V54" i="10"/>
  <c r="U55" i="10"/>
  <c r="V55" i="10"/>
  <c r="U56" i="10"/>
  <c r="V56" i="10"/>
  <c r="U57" i="10"/>
  <c r="V57" i="10"/>
  <c r="U58" i="10"/>
  <c r="V58" i="10"/>
  <c r="U59" i="10"/>
  <c r="V59" i="10"/>
  <c r="U60" i="10"/>
  <c r="V60" i="10"/>
  <c r="U61" i="10"/>
  <c r="V61" i="10"/>
  <c r="U62" i="10"/>
  <c r="V62" i="10"/>
  <c r="V16" i="10"/>
  <c r="U16" i="10"/>
  <c r="C8" i="10"/>
  <c r="C12" i="6"/>
  <c r="C11" i="6"/>
  <c r="C10" i="6"/>
  <c r="C9" i="6"/>
  <c r="V16" i="6"/>
  <c r="U16" i="6"/>
  <c r="C8" i="6"/>
  <c r="C7" i="6"/>
  <c r="U17" i="5"/>
  <c r="V17" i="5"/>
  <c r="U18" i="5"/>
  <c r="V18" i="5"/>
  <c r="U19" i="5"/>
  <c r="V19" i="5"/>
  <c r="U20" i="5"/>
  <c r="V20" i="5"/>
  <c r="U21" i="5"/>
  <c r="V21" i="5"/>
  <c r="U23" i="5"/>
  <c r="V23" i="5"/>
  <c r="U25" i="5"/>
  <c r="V25" i="5"/>
  <c r="U26" i="5"/>
  <c r="V26" i="5"/>
  <c r="U27" i="5"/>
  <c r="V27" i="5"/>
  <c r="U29" i="5"/>
  <c r="V29" i="5"/>
  <c r="U30" i="5"/>
  <c r="V30" i="5"/>
  <c r="U31" i="5"/>
  <c r="V31" i="5"/>
  <c r="U32" i="5"/>
  <c r="V32" i="5"/>
  <c r="U16" i="5"/>
  <c r="C7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31" i="3"/>
  <c r="Z31" i="3"/>
  <c r="Y32" i="3"/>
  <c r="Z32" i="3"/>
  <c r="Y33" i="3"/>
  <c r="Z33" i="3"/>
  <c r="Y34" i="3"/>
  <c r="Z34" i="3"/>
  <c r="Z16" i="3"/>
  <c r="Y16" i="3"/>
  <c r="C8" i="3"/>
  <c r="C7" i="2"/>
  <c r="Y17" i="2"/>
  <c r="Z17" i="2"/>
  <c r="Y18" i="2"/>
  <c r="Z18" i="2"/>
  <c r="Y19" i="2"/>
  <c r="Z19" i="2"/>
  <c r="Y20" i="2"/>
  <c r="Z20" i="2"/>
  <c r="Y21" i="2"/>
  <c r="Z21" i="2"/>
  <c r="Y22" i="2"/>
  <c r="Z22" i="2"/>
  <c r="Y23" i="2"/>
  <c r="Z23" i="2"/>
  <c r="Y24" i="2"/>
  <c r="Z24" i="2"/>
  <c r="Y25" i="2"/>
  <c r="Z25" i="2"/>
  <c r="Y26" i="2"/>
  <c r="Z26" i="2"/>
  <c r="Y27" i="2"/>
  <c r="Z27" i="2"/>
  <c r="Y28" i="2"/>
  <c r="Z28" i="2"/>
  <c r="Y29" i="2"/>
  <c r="Z29" i="2"/>
  <c r="Y30" i="2"/>
  <c r="Z30" i="2"/>
  <c r="Y31" i="2"/>
  <c r="Z31" i="2"/>
  <c r="Z16" i="2"/>
  <c r="Y16" i="2"/>
  <c r="C8" i="2"/>
  <c r="M31" i="2" l="1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Q16" i="2" s="1"/>
  <c r="X31" i="2" l="1"/>
  <c r="Q31" i="2"/>
  <c r="R31" i="2" s="1"/>
  <c r="X30" i="2"/>
  <c r="Q30" i="2"/>
  <c r="R30" i="2" s="1"/>
  <c r="X29" i="2"/>
  <c r="Q29" i="2"/>
  <c r="R29" i="2" s="1"/>
  <c r="X28" i="2"/>
  <c r="S28" i="2"/>
  <c r="Q28" i="2"/>
  <c r="R28" i="2" s="1"/>
  <c r="X27" i="2"/>
  <c r="Q27" i="2"/>
  <c r="R27" i="2" s="1"/>
  <c r="X26" i="2"/>
  <c r="Q26" i="2"/>
  <c r="R26" i="2" s="1"/>
  <c r="X25" i="2"/>
  <c r="Q25" i="2"/>
  <c r="R25" i="2" s="1"/>
  <c r="X24" i="2"/>
  <c r="Q24" i="2"/>
  <c r="R24" i="2" s="1"/>
  <c r="X23" i="2"/>
  <c r="Q23" i="2"/>
  <c r="R23" i="2" s="1"/>
  <c r="X22" i="2"/>
  <c r="Q22" i="2"/>
  <c r="R22" i="2" s="1"/>
  <c r="X21" i="2"/>
  <c r="Q21" i="2"/>
  <c r="R21" i="2" s="1"/>
  <c r="X20" i="2"/>
  <c r="Q20" i="2"/>
  <c r="R20" i="2" s="1"/>
  <c r="X19" i="2"/>
  <c r="Q19" i="2"/>
  <c r="R19" i="2" s="1"/>
  <c r="X18" i="2"/>
  <c r="Q18" i="2"/>
  <c r="R18" i="2" s="1"/>
  <c r="X17" i="2"/>
  <c r="Q17" i="2"/>
  <c r="X16" i="2"/>
  <c r="R16" i="2"/>
  <c r="R17" i="2" l="1"/>
  <c r="T62" i="9" l="1"/>
  <c r="O62" i="9"/>
  <c r="M62" i="9"/>
  <c r="U62" i="9" s="1"/>
  <c r="T61" i="9"/>
  <c r="T60" i="9"/>
  <c r="O60" i="9"/>
  <c r="M60" i="9"/>
  <c r="U60" i="9" s="1"/>
  <c r="T59" i="9"/>
  <c r="T58" i="9"/>
  <c r="O58" i="9"/>
  <c r="M58" i="9"/>
  <c r="U58" i="9" s="1"/>
  <c r="T57" i="9"/>
  <c r="T56" i="9"/>
  <c r="O56" i="9"/>
  <c r="M56" i="9"/>
  <c r="U56" i="9" s="1"/>
  <c r="T55" i="9"/>
  <c r="T54" i="9"/>
  <c r="O54" i="9"/>
  <c r="M54" i="9"/>
  <c r="U54" i="9" s="1"/>
  <c r="T53" i="9"/>
  <c r="T52" i="9"/>
  <c r="O52" i="9"/>
  <c r="M52" i="9"/>
  <c r="U52" i="9" s="1"/>
  <c r="T51" i="9"/>
  <c r="T50" i="9"/>
  <c r="O50" i="9"/>
  <c r="M50" i="9"/>
  <c r="U50" i="9" s="1"/>
  <c r="T49" i="9"/>
  <c r="T48" i="9"/>
  <c r="O48" i="9"/>
  <c r="M48" i="9"/>
  <c r="U48" i="9" s="1"/>
  <c r="T47" i="9"/>
  <c r="T46" i="9"/>
  <c r="O46" i="9"/>
  <c r="M46" i="9"/>
  <c r="U46" i="9" s="1"/>
  <c r="T45" i="9"/>
  <c r="T44" i="9"/>
  <c r="O44" i="9"/>
  <c r="M44" i="9"/>
  <c r="U44" i="9" s="1"/>
  <c r="T43" i="9"/>
  <c r="T42" i="9"/>
  <c r="O42" i="9"/>
  <c r="M42" i="9"/>
  <c r="U42" i="9" s="1"/>
  <c r="T41" i="9"/>
  <c r="T40" i="9"/>
  <c r="O40" i="9"/>
  <c r="M40" i="9"/>
  <c r="U40" i="9" s="1"/>
  <c r="T39" i="9"/>
  <c r="T38" i="9"/>
  <c r="O38" i="9"/>
  <c r="M38" i="9"/>
  <c r="U38" i="9" s="1"/>
  <c r="T37" i="9"/>
  <c r="T36" i="9"/>
  <c r="O36" i="9"/>
  <c r="M36" i="9"/>
  <c r="U36" i="9" s="1"/>
  <c r="T35" i="9"/>
  <c r="T34" i="9"/>
  <c r="O34" i="9"/>
  <c r="M34" i="9"/>
  <c r="U34" i="9" s="1"/>
  <c r="T33" i="9"/>
  <c r="T32" i="9"/>
  <c r="O32" i="9"/>
  <c r="M32" i="9"/>
  <c r="U32" i="9" s="1"/>
  <c r="T31" i="9"/>
  <c r="T30" i="9"/>
  <c r="O30" i="9"/>
  <c r="M30" i="9"/>
  <c r="U30" i="9" s="1"/>
  <c r="T29" i="9"/>
  <c r="T28" i="9"/>
  <c r="O28" i="9"/>
  <c r="M28" i="9"/>
  <c r="U28" i="9" s="1"/>
  <c r="T27" i="9"/>
  <c r="T26" i="9"/>
  <c r="O26" i="9"/>
  <c r="M26" i="9"/>
  <c r="U26" i="9" s="1"/>
  <c r="T25" i="9"/>
  <c r="T24" i="9"/>
  <c r="O24" i="9"/>
  <c r="M24" i="9"/>
  <c r="U24" i="9" s="1"/>
  <c r="T23" i="9"/>
  <c r="T22" i="9"/>
  <c r="O22" i="9"/>
  <c r="M22" i="9"/>
  <c r="U22" i="9" s="1"/>
  <c r="T21" i="9"/>
  <c r="T20" i="9"/>
  <c r="O20" i="9"/>
  <c r="M20" i="9"/>
  <c r="U20" i="9" s="1"/>
  <c r="T19" i="9"/>
  <c r="T18" i="9"/>
  <c r="O18" i="9"/>
  <c r="M18" i="9"/>
  <c r="U18" i="9" s="1"/>
  <c r="T17" i="9"/>
  <c r="T62" i="14"/>
  <c r="O62" i="14"/>
  <c r="M62" i="14"/>
  <c r="T61" i="14"/>
  <c r="T60" i="14"/>
  <c r="O60" i="14"/>
  <c r="M60" i="14"/>
  <c r="T59" i="14"/>
  <c r="T58" i="14"/>
  <c r="O58" i="14"/>
  <c r="M58" i="14"/>
  <c r="T57" i="14"/>
  <c r="T56" i="14"/>
  <c r="O56" i="14"/>
  <c r="M56" i="14"/>
  <c r="T55" i="14"/>
  <c r="T54" i="14"/>
  <c r="O54" i="14"/>
  <c r="M54" i="14"/>
  <c r="T53" i="14"/>
  <c r="T52" i="14"/>
  <c r="O52" i="14"/>
  <c r="M52" i="14"/>
  <c r="T51" i="14"/>
  <c r="T50" i="14"/>
  <c r="O50" i="14"/>
  <c r="M50" i="14"/>
  <c r="T49" i="14"/>
  <c r="T48" i="14"/>
  <c r="O48" i="14"/>
  <c r="M48" i="14"/>
  <c r="T47" i="14"/>
  <c r="T46" i="14"/>
  <c r="O46" i="14"/>
  <c r="M46" i="14"/>
  <c r="T45" i="14"/>
  <c r="T44" i="14"/>
  <c r="O44" i="14"/>
  <c r="M44" i="14"/>
  <c r="T43" i="14"/>
  <c r="T42" i="14"/>
  <c r="O42" i="14"/>
  <c r="M42" i="14"/>
  <c r="T41" i="14"/>
  <c r="T40" i="14"/>
  <c r="O40" i="14"/>
  <c r="M40" i="14"/>
  <c r="T39" i="14"/>
  <c r="T38" i="14"/>
  <c r="O38" i="14"/>
  <c r="M38" i="14"/>
  <c r="T37" i="14"/>
  <c r="T36" i="14"/>
  <c r="O36" i="14"/>
  <c r="M36" i="14"/>
  <c r="T35" i="14"/>
  <c r="T34" i="14"/>
  <c r="O34" i="14"/>
  <c r="M34" i="14"/>
  <c r="T33" i="14"/>
  <c r="T32" i="14"/>
  <c r="O32" i="14"/>
  <c r="M32" i="14"/>
  <c r="T31" i="14"/>
  <c r="T30" i="14"/>
  <c r="O30" i="14"/>
  <c r="M30" i="14"/>
  <c r="T29" i="14"/>
  <c r="T28" i="14"/>
  <c r="O28" i="14"/>
  <c r="M28" i="14"/>
  <c r="T27" i="14"/>
  <c r="T26" i="14"/>
  <c r="O26" i="14"/>
  <c r="M26" i="14"/>
  <c r="T25" i="14"/>
  <c r="T24" i="14"/>
  <c r="O24" i="14"/>
  <c r="M24" i="14"/>
  <c r="T23" i="14"/>
  <c r="T22" i="14"/>
  <c r="O22" i="14"/>
  <c r="M22" i="14"/>
  <c r="T21" i="14"/>
  <c r="T20" i="14"/>
  <c r="O20" i="14"/>
  <c r="M20" i="14"/>
  <c r="T19" i="14"/>
  <c r="T18" i="14"/>
  <c r="O18" i="14"/>
  <c r="M18" i="14"/>
  <c r="T17" i="14"/>
  <c r="T62" i="10"/>
  <c r="O62" i="10"/>
  <c r="M62" i="10"/>
  <c r="T61" i="10"/>
  <c r="T60" i="10"/>
  <c r="O60" i="10"/>
  <c r="M60" i="10"/>
  <c r="T59" i="10"/>
  <c r="T58" i="10"/>
  <c r="O58" i="10"/>
  <c r="M58" i="10"/>
  <c r="T57" i="10"/>
  <c r="T56" i="10"/>
  <c r="O56" i="10"/>
  <c r="M56" i="10"/>
  <c r="T55" i="10"/>
  <c r="T54" i="10"/>
  <c r="O54" i="10"/>
  <c r="M54" i="10"/>
  <c r="T53" i="10"/>
  <c r="T52" i="10"/>
  <c r="O52" i="10"/>
  <c r="M52" i="10"/>
  <c r="T51" i="10"/>
  <c r="T50" i="10"/>
  <c r="O50" i="10"/>
  <c r="M50" i="10"/>
  <c r="T49" i="10"/>
  <c r="T48" i="10"/>
  <c r="O48" i="10"/>
  <c r="M48" i="10"/>
  <c r="T47" i="10"/>
  <c r="T46" i="10"/>
  <c r="O46" i="10"/>
  <c r="M46" i="10"/>
  <c r="T45" i="10"/>
  <c r="T44" i="10"/>
  <c r="O44" i="10"/>
  <c r="M44" i="10"/>
  <c r="T43" i="10"/>
  <c r="T42" i="10"/>
  <c r="O42" i="10"/>
  <c r="M42" i="10"/>
  <c r="T41" i="10"/>
  <c r="T40" i="10"/>
  <c r="O40" i="10"/>
  <c r="M40" i="10"/>
  <c r="T39" i="10"/>
  <c r="T38" i="10"/>
  <c r="O38" i="10"/>
  <c r="M38" i="10"/>
  <c r="T37" i="10"/>
  <c r="T36" i="10"/>
  <c r="O36" i="10"/>
  <c r="M36" i="10"/>
  <c r="T35" i="10"/>
  <c r="T34" i="10"/>
  <c r="O34" i="10"/>
  <c r="M34" i="10"/>
  <c r="T33" i="10"/>
  <c r="T32" i="10"/>
  <c r="O32" i="10"/>
  <c r="M32" i="10"/>
  <c r="T31" i="10"/>
  <c r="T30" i="10"/>
  <c r="O30" i="10"/>
  <c r="M30" i="10"/>
  <c r="T29" i="10"/>
  <c r="T28" i="10"/>
  <c r="O28" i="10"/>
  <c r="M28" i="10"/>
  <c r="T27" i="10"/>
  <c r="T26" i="10"/>
  <c r="O26" i="10"/>
  <c r="M26" i="10"/>
  <c r="T25" i="10"/>
  <c r="T24" i="10"/>
  <c r="O24" i="10"/>
  <c r="M24" i="10"/>
  <c r="T23" i="10"/>
  <c r="T22" i="10"/>
  <c r="O22" i="10"/>
  <c r="M22" i="10"/>
  <c r="T21" i="10"/>
  <c r="T20" i="10"/>
  <c r="O20" i="10"/>
  <c r="M20" i="10"/>
  <c r="T19" i="10"/>
  <c r="T18" i="10"/>
  <c r="O18" i="10"/>
  <c r="M18" i="10"/>
  <c r="T17" i="10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 l="1"/>
  <c r="T16" i="9"/>
  <c r="O16" i="9"/>
  <c r="M16" i="9"/>
  <c r="T16" i="14"/>
  <c r="O16" i="14"/>
  <c r="M16" i="14"/>
  <c r="T16" i="10"/>
  <c r="O16" i="10"/>
  <c r="M16" i="10"/>
  <c r="T16" i="6"/>
  <c r="O16" i="6"/>
  <c r="P16" i="6" s="1"/>
  <c r="M16" i="6"/>
  <c r="N16" i="6" s="1"/>
  <c r="T16" i="5"/>
  <c r="U16" i="9" l="1"/>
  <c r="K62" i="9"/>
  <c r="K60" i="9"/>
  <c r="K58" i="9"/>
  <c r="K56" i="9"/>
  <c r="K54" i="9"/>
  <c r="K52" i="9"/>
  <c r="K50" i="9"/>
  <c r="K48" i="9"/>
  <c r="K46" i="9"/>
  <c r="K44" i="9"/>
  <c r="K42" i="9"/>
  <c r="K40" i="9"/>
  <c r="K38" i="9"/>
  <c r="K36" i="9"/>
  <c r="K34" i="9"/>
  <c r="K32" i="9"/>
  <c r="K30" i="9"/>
  <c r="K28" i="9"/>
  <c r="K26" i="9"/>
  <c r="K24" i="9"/>
  <c r="K22" i="9"/>
  <c r="K20" i="9"/>
  <c r="K18" i="9"/>
  <c r="K16" i="9"/>
  <c r="K62" i="14"/>
  <c r="K60" i="14"/>
  <c r="K58" i="14"/>
  <c r="K56" i="14"/>
  <c r="K54" i="14"/>
  <c r="K52" i="14"/>
  <c r="K50" i="14"/>
  <c r="K48" i="14"/>
  <c r="K46" i="14"/>
  <c r="K44" i="14"/>
  <c r="K42" i="14"/>
  <c r="K40" i="14"/>
  <c r="K38" i="14"/>
  <c r="K36" i="14"/>
  <c r="K34" i="14"/>
  <c r="K32" i="14"/>
  <c r="K30" i="14"/>
  <c r="K28" i="14"/>
  <c r="K26" i="14"/>
  <c r="K24" i="14"/>
  <c r="K22" i="14"/>
  <c r="K20" i="14"/>
  <c r="K18" i="14"/>
  <c r="K16" i="14"/>
  <c r="K62" i="10"/>
  <c r="K60" i="10"/>
  <c r="K58" i="10"/>
  <c r="K56" i="10"/>
  <c r="K54" i="10"/>
  <c r="K52" i="10"/>
  <c r="K50" i="10"/>
  <c r="K48" i="10"/>
  <c r="K46" i="10"/>
  <c r="K44" i="10"/>
  <c r="K42" i="10"/>
  <c r="K40" i="10"/>
  <c r="K38" i="10"/>
  <c r="K36" i="10"/>
  <c r="K34" i="10"/>
  <c r="K32" i="10"/>
  <c r="K30" i="10"/>
  <c r="K28" i="10"/>
  <c r="K26" i="10"/>
  <c r="K24" i="10"/>
  <c r="K22" i="10"/>
  <c r="K20" i="10"/>
  <c r="K18" i="10"/>
  <c r="K16" i="10"/>
  <c r="K16" i="6"/>
  <c r="J62" i="9" l="1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2" i="14"/>
  <c r="J41" i="14"/>
  <c r="J40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62" i="10"/>
  <c r="J61" i="10"/>
  <c r="J60" i="10"/>
  <c r="J59" i="10"/>
  <c r="J58" i="10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B4" i="13"/>
  <c r="B3" i="13"/>
  <c r="M45" i="10" l="1"/>
  <c r="N45" i="10" s="1"/>
  <c r="O45" i="10"/>
  <c r="P45" i="10" s="1"/>
  <c r="P54" i="14"/>
  <c r="N54" i="14"/>
  <c r="O55" i="9"/>
  <c r="P55" i="9" s="1"/>
  <c r="M55" i="9"/>
  <c r="E17" i="13"/>
  <c r="E18" i="13"/>
  <c r="N38" i="10"/>
  <c r="P38" i="10"/>
  <c r="P46" i="10"/>
  <c r="N46" i="10"/>
  <c r="P54" i="10"/>
  <c r="N54" i="10"/>
  <c r="P62" i="10"/>
  <c r="N62" i="10"/>
  <c r="O23" i="14"/>
  <c r="P23" i="14" s="1"/>
  <c r="M23" i="14"/>
  <c r="N23" i="14" s="1"/>
  <c r="O31" i="14"/>
  <c r="P31" i="14" s="1"/>
  <c r="M31" i="14"/>
  <c r="N31" i="14" s="1"/>
  <c r="M39" i="14"/>
  <c r="N39" i="14" s="1"/>
  <c r="O39" i="14"/>
  <c r="P39" i="14" s="1"/>
  <c r="O47" i="14"/>
  <c r="P47" i="14" s="1"/>
  <c r="M47" i="14"/>
  <c r="N47" i="14" s="1"/>
  <c r="M55" i="14"/>
  <c r="N55" i="14" s="1"/>
  <c r="O55" i="14"/>
  <c r="P55" i="14" s="1"/>
  <c r="P16" i="9"/>
  <c r="N16" i="9"/>
  <c r="N24" i="9"/>
  <c r="V24" i="9" s="1"/>
  <c r="P24" i="9"/>
  <c r="N32" i="9"/>
  <c r="V32" i="9" s="1"/>
  <c r="P32" i="9"/>
  <c r="N40" i="9"/>
  <c r="V40" i="9" s="1"/>
  <c r="P40" i="9"/>
  <c r="N48" i="9"/>
  <c r="V48" i="9" s="1"/>
  <c r="P48" i="9"/>
  <c r="N56" i="9"/>
  <c r="V56" i="9" s="1"/>
  <c r="P56" i="9"/>
  <c r="M53" i="10"/>
  <c r="N53" i="10" s="1"/>
  <c r="O53" i="10"/>
  <c r="P53" i="10" s="1"/>
  <c r="N46" i="14"/>
  <c r="P46" i="14"/>
  <c r="O31" i="10"/>
  <c r="P31" i="10" s="1"/>
  <c r="M31" i="10"/>
  <c r="N31" i="10" s="1"/>
  <c r="M47" i="10"/>
  <c r="N47" i="10" s="1"/>
  <c r="O47" i="10"/>
  <c r="P47" i="10" s="1"/>
  <c r="M55" i="10"/>
  <c r="N55" i="10" s="1"/>
  <c r="O55" i="10"/>
  <c r="P55" i="10" s="1"/>
  <c r="N16" i="14"/>
  <c r="P16" i="14"/>
  <c r="N24" i="14"/>
  <c r="P24" i="14"/>
  <c r="N32" i="14"/>
  <c r="P32" i="14"/>
  <c r="N40" i="14"/>
  <c r="P40" i="14"/>
  <c r="N48" i="14"/>
  <c r="P48" i="14"/>
  <c r="N56" i="14"/>
  <c r="P56" i="14"/>
  <c r="O17" i="9"/>
  <c r="M17" i="9"/>
  <c r="O25" i="9"/>
  <c r="P25" i="9" s="1"/>
  <c r="M25" i="9"/>
  <c r="U25" i="9" s="1"/>
  <c r="O33" i="9"/>
  <c r="P33" i="9" s="1"/>
  <c r="M33" i="9"/>
  <c r="U33" i="9" s="1"/>
  <c r="O41" i="9"/>
  <c r="P41" i="9" s="1"/>
  <c r="M41" i="9"/>
  <c r="U41" i="9" s="1"/>
  <c r="M49" i="9"/>
  <c r="U49" i="9" s="1"/>
  <c r="O49" i="9"/>
  <c r="P49" i="9" s="1"/>
  <c r="M57" i="9"/>
  <c r="U57" i="9" s="1"/>
  <c r="O57" i="9"/>
  <c r="P57" i="9" s="1"/>
  <c r="N22" i="14"/>
  <c r="P22" i="14"/>
  <c r="M39" i="9"/>
  <c r="O39" i="9"/>
  <c r="P39" i="9" s="1"/>
  <c r="N40" i="10"/>
  <c r="P40" i="10"/>
  <c r="N48" i="10"/>
  <c r="P48" i="10"/>
  <c r="N56" i="10"/>
  <c r="P56" i="10"/>
  <c r="O17" i="14"/>
  <c r="P17" i="14" s="1"/>
  <c r="M17" i="14"/>
  <c r="N17" i="14" s="1"/>
  <c r="O25" i="14"/>
  <c r="P25" i="14" s="1"/>
  <c r="M25" i="14"/>
  <c r="N25" i="14" s="1"/>
  <c r="M33" i="14"/>
  <c r="N33" i="14" s="1"/>
  <c r="O33" i="14"/>
  <c r="P33" i="14" s="1"/>
  <c r="O41" i="14"/>
  <c r="P41" i="14" s="1"/>
  <c r="M41" i="14"/>
  <c r="N41" i="14" s="1"/>
  <c r="M49" i="14"/>
  <c r="N49" i="14" s="1"/>
  <c r="O49" i="14"/>
  <c r="P49" i="14" s="1"/>
  <c r="O57" i="14"/>
  <c r="P57" i="14" s="1"/>
  <c r="M57" i="14"/>
  <c r="N57" i="14" s="1"/>
  <c r="P18" i="9"/>
  <c r="N18" i="9"/>
  <c r="V18" i="9" s="1"/>
  <c r="P26" i="9"/>
  <c r="N26" i="9"/>
  <c r="V26" i="9" s="1"/>
  <c r="P34" i="9"/>
  <c r="N34" i="9"/>
  <c r="V34" i="9" s="1"/>
  <c r="P42" i="9"/>
  <c r="N42" i="9"/>
  <c r="V42" i="9" s="1"/>
  <c r="P50" i="9"/>
  <c r="N50" i="9"/>
  <c r="V50" i="9" s="1"/>
  <c r="P58" i="9"/>
  <c r="N58" i="9"/>
  <c r="V58" i="9" s="1"/>
  <c r="O61" i="10"/>
  <c r="P61" i="10" s="1"/>
  <c r="M61" i="10"/>
  <c r="N61" i="10" s="1"/>
  <c r="O47" i="9"/>
  <c r="M47" i="9"/>
  <c r="P47" i="9"/>
  <c r="O41" i="10"/>
  <c r="P41" i="10" s="1"/>
  <c r="M41" i="10"/>
  <c r="N41" i="10" s="1"/>
  <c r="M57" i="10"/>
  <c r="N57" i="10" s="1"/>
  <c r="O57" i="10"/>
  <c r="P57" i="10" s="1"/>
  <c r="P18" i="14"/>
  <c r="N18" i="14"/>
  <c r="P26" i="14"/>
  <c r="N26" i="14"/>
  <c r="P34" i="14"/>
  <c r="N34" i="14"/>
  <c r="P42" i="14"/>
  <c r="N42" i="14"/>
  <c r="P50" i="14"/>
  <c r="N50" i="14"/>
  <c r="P58" i="14"/>
  <c r="N58" i="14"/>
  <c r="O19" i="9"/>
  <c r="P19" i="9" s="1"/>
  <c r="M19" i="9"/>
  <c r="O27" i="9"/>
  <c r="P27" i="9" s="1"/>
  <c r="M27" i="9"/>
  <c r="O35" i="9"/>
  <c r="P35" i="9" s="1"/>
  <c r="M35" i="9"/>
  <c r="M43" i="9"/>
  <c r="O43" i="9"/>
  <c r="P43" i="9" s="1"/>
  <c r="O51" i="9"/>
  <c r="P51" i="9" s="1"/>
  <c r="M51" i="9"/>
  <c r="M59" i="9"/>
  <c r="O59" i="9"/>
  <c r="P59" i="9" s="1"/>
  <c r="O37" i="10"/>
  <c r="P37" i="10" s="1"/>
  <c r="M37" i="10"/>
  <c r="N37" i="10" s="1"/>
  <c r="P38" i="14"/>
  <c r="N38" i="14"/>
  <c r="P62" i="14"/>
  <c r="N62" i="14"/>
  <c r="O39" i="10"/>
  <c r="P39" i="10" s="1"/>
  <c r="M39" i="10"/>
  <c r="N39" i="10" s="1"/>
  <c r="O49" i="10"/>
  <c r="P49" i="10" s="1"/>
  <c r="M49" i="10"/>
  <c r="N49" i="10" s="1"/>
  <c r="P34" i="10"/>
  <c r="N34" i="10"/>
  <c r="P42" i="10"/>
  <c r="N42" i="10"/>
  <c r="P50" i="10"/>
  <c r="N50" i="10"/>
  <c r="P58" i="10"/>
  <c r="N58" i="10"/>
  <c r="P19" i="14"/>
  <c r="M19" i="14"/>
  <c r="N19" i="14" s="1"/>
  <c r="O19" i="14"/>
  <c r="O27" i="14"/>
  <c r="P27" i="14"/>
  <c r="M27" i="14"/>
  <c r="N27" i="14" s="1"/>
  <c r="O35" i="14"/>
  <c r="P35" i="14" s="1"/>
  <c r="M35" i="14"/>
  <c r="N35" i="14" s="1"/>
  <c r="O43" i="14"/>
  <c r="P43" i="14" s="1"/>
  <c r="M43" i="14"/>
  <c r="N43" i="14" s="1"/>
  <c r="M51" i="14"/>
  <c r="N51" i="14" s="1"/>
  <c r="O51" i="14"/>
  <c r="P51" i="14" s="1"/>
  <c r="Q59" i="14" a="1"/>
  <c r="Q59" i="14" s="1"/>
  <c r="R59" i="14" s="1"/>
  <c r="S59" i="14" s="1"/>
  <c r="K59" i="14" s="1"/>
  <c r="O59" i="14"/>
  <c r="P59" i="14" s="1"/>
  <c r="M59" i="14"/>
  <c r="N59" i="14" s="1"/>
  <c r="P20" i="9"/>
  <c r="N20" i="9"/>
  <c r="V20" i="9" s="1"/>
  <c r="N28" i="9"/>
  <c r="V28" i="9" s="1"/>
  <c r="P28" i="9"/>
  <c r="P36" i="9"/>
  <c r="N36" i="9"/>
  <c r="V36" i="9" s="1"/>
  <c r="P44" i="9"/>
  <c r="N44" i="9"/>
  <c r="V44" i="9" s="1"/>
  <c r="N52" i="9"/>
  <c r="V52" i="9" s="1"/>
  <c r="P52" i="9"/>
  <c r="N60" i="9"/>
  <c r="V60" i="9" s="1"/>
  <c r="P60" i="9"/>
  <c r="E16" i="13"/>
  <c r="Q52" i="14" s="1" a="1"/>
  <c r="Q52" i="14" s="1"/>
  <c r="R52" i="14" s="1"/>
  <c r="S52" i="14" s="1"/>
  <c r="E13" i="13"/>
  <c r="Q39" i="14" s="1" a="1"/>
  <c r="Q39" i="14" s="1"/>
  <c r="R39" i="14" s="1"/>
  <c r="S39" i="14" s="1"/>
  <c r="K39" i="14" s="1"/>
  <c r="E15" i="13"/>
  <c r="E14" i="13"/>
  <c r="Q33" i="10" s="1" a="1"/>
  <c r="Q33" i="10" s="1"/>
  <c r="R33" i="10" s="1"/>
  <c r="S33" i="10" s="1"/>
  <c r="K33" i="10" s="1"/>
  <c r="M23" i="9"/>
  <c r="O23" i="9"/>
  <c r="P23" i="9" s="1"/>
  <c r="M33" i="10"/>
  <c r="N33" i="10" s="1"/>
  <c r="O33" i="10"/>
  <c r="P33" i="10" s="1"/>
  <c r="O51" i="10"/>
  <c r="P51" i="10" s="1"/>
  <c r="M51" i="10"/>
  <c r="N51" i="10"/>
  <c r="Q59" i="10" a="1"/>
  <c r="Q59" i="10" s="1"/>
  <c r="R59" i="10" s="1"/>
  <c r="S59" i="10" s="1"/>
  <c r="K59" i="10" s="1"/>
  <c r="O59" i="10"/>
  <c r="P59" i="10" s="1"/>
  <c r="M59" i="10"/>
  <c r="N59" i="10"/>
  <c r="P20" i="14"/>
  <c r="N20" i="14"/>
  <c r="P28" i="14"/>
  <c r="N28" i="14"/>
  <c r="P36" i="14"/>
  <c r="N36" i="14"/>
  <c r="N44" i="14"/>
  <c r="P44" i="14"/>
  <c r="N52" i="14"/>
  <c r="P52" i="14"/>
  <c r="N60" i="14"/>
  <c r="P60" i="14"/>
  <c r="M21" i="9"/>
  <c r="O21" i="9"/>
  <c r="P21" i="9" s="1"/>
  <c r="M29" i="9"/>
  <c r="O29" i="9"/>
  <c r="P29" i="9" s="1"/>
  <c r="O37" i="9"/>
  <c r="P37" i="9" s="1"/>
  <c r="M37" i="9"/>
  <c r="Q37" i="9" a="1"/>
  <c r="Q37" i="9" s="1"/>
  <c r="R37" i="9" s="1"/>
  <c r="S37" i="9" s="1"/>
  <c r="K37" i="9" s="1"/>
  <c r="O45" i="9"/>
  <c r="P45" i="9" s="1"/>
  <c r="M45" i="9"/>
  <c r="O53" i="9"/>
  <c r="P53" i="9" s="1"/>
  <c r="M53" i="9"/>
  <c r="O61" i="9"/>
  <c r="P61" i="9" s="1"/>
  <c r="M61" i="9"/>
  <c r="U61" i="9" s="1"/>
  <c r="N61" i="9"/>
  <c r="V61" i="9" s="1"/>
  <c r="P30" i="14"/>
  <c r="N30" i="14"/>
  <c r="O31" i="9"/>
  <c r="P31" i="9" s="1"/>
  <c r="M31" i="9"/>
  <c r="N32" i="10"/>
  <c r="Q32" i="10" a="1"/>
  <c r="Q32" i="10" s="1"/>
  <c r="R32" i="10" s="1"/>
  <c r="S32" i="10" s="1"/>
  <c r="P32" i="10"/>
  <c r="M35" i="10"/>
  <c r="N35" i="10" s="1"/>
  <c r="O35" i="10"/>
  <c r="P35" i="10" s="1"/>
  <c r="M43" i="10"/>
  <c r="N43" i="10" s="1"/>
  <c r="O43" i="10"/>
  <c r="P43" i="10" s="1"/>
  <c r="Q36" i="10" a="1"/>
  <c r="Q36" i="10" s="1"/>
  <c r="R36" i="10" s="1"/>
  <c r="S36" i="10" s="1"/>
  <c r="P36" i="10"/>
  <c r="N36" i="10"/>
  <c r="P44" i="10"/>
  <c r="N44" i="10"/>
  <c r="P52" i="10"/>
  <c r="N52" i="10"/>
  <c r="P60" i="10"/>
  <c r="N60" i="10"/>
  <c r="N21" i="14"/>
  <c r="M21" i="14"/>
  <c r="O21" i="14"/>
  <c r="P21" i="14" s="1"/>
  <c r="M29" i="14"/>
  <c r="O29" i="14"/>
  <c r="P29" i="14" s="1"/>
  <c r="N29" i="14"/>
  <c r="M37" i="14"/>
  <c r="N37" i="14"/>
  <c r="Q37" i="14" a="1"/>
  <c r="Q37" i="14" s="1"/>
  <c r="R37" i="14" s="1"/>
  <c r="S37" i="14" s="1"/>
  <c r="K37" i="14" s="1"/>
  <c r="O37" i="14"/>
  <c r="P37" i="14" s="1"/>
  <c r="O45" i="14"/>
  <c r="P45" i="14" s="1"/>
  <c r="M45" i="14"/>
  <c r="N45" i="14" s="1"/>
  <c r="O53" i="14"/>
  <c r="P53" i="14" s="1"/>
  <c r="M53" i="14"/>
  <c r="N53" i="14" s="1"/>
  <c r="O61" i="14"/>
  <c r="P61" i="14" s="1"/>
  <c r="M61" i="14"/>
  <c r="N61" i="14"/>
  <c r="P22" i="9"/>
  <c r="N22" i="9"/>
  <c r="V22" i="9" s="1"/>
  <c r="P30" i="9"/>
  <c r="N30" i="9"/>
  <c r="V30" i="9" s="1"/>
  <c r="Q38" i="9" a="1"/>
  <c r="Q38" i="9" s="1"/>
  <c r="R38" i="9" s="1"/>
  <c r="S38" i="9" s="1"/>
  <c r="P38" i="9"/>
  <c r="N38" i="9"/>
  <c r="V38" i="9" s="1"/>
  <c r="N46" i="9"/>
  <c r="V46" i="9" s="1"/>
  <c r="P46" i="9"/>
  <c r="N54" i="9"/>
  <c r="V54" i="9" s="1"/>
  <c r="P54" i="9"/>
  <c r="P62" i="9"/>
  <c r="N62" i="9"/>
  <c r="V62" i="9" s="1"/>
  <c r="M34" i="3"/>
  <c r="L34" i="3"/>
  <c r="M33" i="3"/>
  <c r="L33" i="3"/>
  <c r="S33" i="3" s="1"/>
  <c r="T33" i="3" s="1"/>
  <c r="M32" i="3"/>
  <c r="L32" i="3"/>
  <c r="M31" i="3"/>
  <c r="L31" i="3"/>
  <c r="M30" i="3"/>
  <c r="L30" i="3"/>
  <c r="M29" i="3"/>
  <c r="L29" i="3"/>
  <c r="S29" i="3" s="1"/>
  <c r="T29" i="3" s="1"/>
  <c r="M28" i="3"/>
  <c r="L28" i="3"/>
  <c r="S28" i="3" s="1"/>
  <c r="T28" i="3" s="1"/>
  <c r="M27" i="3"/>
  <c r="L27" i="3"/>
  <c r="S27" i="3" s="1"/>
  <c r="T27" i="3" s="1"/>
  <c r="M26" i="3"/>
  <c r="L26" i="3"/>
  <c r="M25" i="3"/>
  <c r="L25" i="3"/>
  <c r="S25" i="3" s="1"/>
  <c r="T25" i="3" s="1"/>
  <c r="M24" i="3"/>
  <c r="L24" i="3"/>
  <c r="M23" i="3"/>
  <c r="L23" i="3"/>
  <c r="M22" i="3"/>
  <c r="L22" i="3"/>
  <c r="S22" i="3" s="1"/>
  <c r="T22" i="3" s="1"/>
  <c r="M21" i="3"/>
  <c r="L21" i="3"/>
  <c r="S21" i="3" s="1"/>
  <c r="T21" i="3" s="1"/>
  <c r="M20" i="3"/>
  <c r="L20" i="3"/>
  <c r="S20" i="3" s="1"/>
  <c r="T20" i="3" s="1"/>
  <c r="M19" i="3"/>
  <c r="L19" i="3"/>
  <c r="N41" i="9" l="1"/>
  <c r="V41" i="9" s="1"/>
  <c r="N33" i="9"/>
  <c r="V33" i="9" s="1"/>
  <c r="P17" i="9"/>
  <c r="C7" i="9"/>
  <c r="N39" i="9"/>
  <c r="V39" i="9" s="1"/>
  <c r="U39" i="9"/>
  <c r="N43" i="9"/>
  <c r="V43" i="9" s="1"/>
  <c r="U43" i="9"/>
  <c r="N47" i="9"/>
  <c r="V47" i="9" s="1"/>
  <c r="U47" i="9"/>
  <c r="N31" i="9"/>
  <c r="V31" i="9" s="1"/>
  <c r="U31" i="9"/>
  <c r="N37" i="9"/>
  <c r="V37" i="9" s="1"/>
  <c r="U37" i="9"/>
  <c r="N35" i="9"/>
  <c r="V35" i="9" s="1"/>
  <c r="U35" i="9"/>
  <c r="N55" i="9"/>
  <c r="V55" i="9" s="1"/>
  <c r="U55" i="9"/>
  <c r="N51" i="9"/>
  <c r="V51" i="9" s="1"/>
  <c r="U51" i="9"/>
  <c r="N27" i="9"/>
  <c r="V27" i="9" s="1"/>
  <c r="U27" i="9"/>
  <c r="N25" i="9"/>
  <c r="V25" i="9" s="1"/>
  <c r="N45" i="9"/>
  <c r="V45" i="9" s="1"/>
  <c r="U45" i="9"/>
  <c r="N29" i="9"/>
  <c r="V29" i="9" s="1"/>
  <c r="U29" i="9"/>
  <c r="N57" i="9"/>
  <c r="V57" i="9" s="1"/>
  <c r="V16" i="9"/>
  <c r="N23" i="9"/>
  <c r="V23" i="9" s="1"/>
  <c r="U23" i="9"/>
  <c r="N19" i="9"/>
  <c r="V19" i="9" s="1"/>
  <c r="U19" i="9"/>
  <c r="N49" i="9"/>
  <c r="V49" i="9" s="1"/>
  <c r="U17" i="9"/>
  <c r="C11" i="9"/>
  <c r="C8" i="9"/>
  <c r="N21" i="9"/>
  <c r="V21" i="9" s="1"/>
  <c r="U21" i="9"/>
  <c r="N17" i="9"/>
  <c r="V17" i="9" s="1"/>
  <c r="N53" i="9"/>
  <c r="V53" i="9" s="1"/>
  <c r="U53" i="9"/>
  <c r="N59" i="9"/>
  <c r="V59" i="9" s="1"/>
  <c r="U59" i="9"/>
  <c r="U24" i="3" a="1"/>
  <c r="U24" i="3" s="1"/>
  <c r="V24" i="3" s="1"/>
  <c r="W24" i="3" s="1"/>
  <c r="O24" i="3" s="1"/>
  <c r="Q24" i="3"/>
  <c r="R24" i="3" s="1"/>
  <c r="Q58" i="9" a="1"/>
  <c r="Q58" i="9" s="1"/>
  <c r="R58" i="9" s="1"/>
  <c r="S58" i="9" s="1"/>
  <c r="Q22" i="14" a="1"/>
  <c r="Q22" i="14" s="1"/>
  <c r="R22" i="14" s="1"/>
  <c r="S22" i="14" s="1"/>
  <c r="Q30" i="9" a="1"/>
  <c r="Q30" i="9" s="1"/>
  <c r="R30" i="9" s="1"/>
  <c r="S30" i="9" s="1"/>
  <c r="Q28" i="14" a="1"/>
  <c r="Q28" i="14" s="1"/>
  <c r="R28" i="14" s="1"/>
  <c r="S28" i="14" s="1"/>
  <c r="Q43" i="9" a="1"/>
  <c r="Q43" i="9" s="1"/>
  <c r="R43" i="9" s="1"/>
  <c r="S43" i="9" s="1"/>
  <c r="K43" i="9" s="1"/>
  <c r="Q62" i="10" a="1"/>
  <c r="Q62" i="10" s="1"/>
  <c r="R62" i="10" s="1"/>
  <c r="S62" i="10" s="1"/>
  <c r="Q33" i="3"/>
  <c r="R33" i="3" s="1"/>
  <c r="U33" i="3" a="1"/>
  <c r="U33" i="3" s="1"/>
  <c r="V33" i="3" s="1"/>
  <c r="W33" i="3" s="1"/>
  <c r="O33" i="3" s="1"/>
  <c r="Q43" i="10" a="1"/>
  <c r="Q43" i="10" s="1"/>
  <c r="R43" i="10" s="1"/>
  <c r="S43" i="10" s="1"/>
  <c r="K43" i="10" s="1"/>
  <c r="Q21" i="9" a="1"/>
  <c r="Q21" i="9" s="1"/>
  <c r="R21" i="9" s="1"/>
  <c r="S21" i="9" s="1"/>
  <c r="K21" i="9" s="1"/>
  <c r="Q44" i="14" a="1"/>
  <c r="Q44" i="14" s="1"/>
  <c r="R44" i="14" s="1"/>
  <c r="S44" i="14" s="1"/>
  <c r="Q51" i="10" a="1"/>
  <c r="Q51" i="10" s="1"/>
  <c r="R51" i="10" s="1"/>
  <c r="S51" i="10" s="1"/>
  <c r="K51" i="10" s="1"/>
  <c r="Q23" i="9" a="1"/>
  <c r="Q23" i="9" s="1"/>
  <c r="R23" i="9" s="1"/>
  <c r="S23" i="9" s="1"/>
  <c r="K23" i="9" s="1"/>
  <c r="Q60" i="9" a="1"/>
  <c r="Q60" i="9" s="1"/>
  <c r="R60" i="9" s="1"/>
  <c r="S60" i="9" s="1"/>
  <c r="Q36" i="9" a="1"/>
  <c r="Q36" i="9" s="1"/>
  <c r="R36" i="9" s="1"/>
  <c r="S36" i="9" s="1"/>
  <c r="Q43" i="14" a="1"/>
  <c r="Q43" i="14" s="1"/>
  <c r="R43" i="14" s="1"/>
  <c r="S43" i="14" s="1"/>
  <c r="K43" i="14" s="1"/>
  <c r="Q42" i="10" a="1"/>
  <c r="Q42" i="10" s="1"/>
  <c r="R42" i="10" s="1"/>
  <c r="S42" i="10" s="1"/>
  <c r="Q39" i="10" a="1"/>
  <c r="Q39" i="10" s="1"/>
  <c r="R39" i="10" s="1"/>
  <c r="S39" i="10" s="1"/>
  <c r="K39" i="10" s="1"/>
  <c r="Q50" i="14" a="1"/>
  <c r="Q50" i="14" s="1"/>
  <c r="R50" i="14" s="1"/>
  <c r="S50" i="14" s="1"/>
  <c r="Q34" i="9" a="1"/>
  <c r="Q34" i="9" s="1"/>
  <c r="R34" i="9" s="1"/>
  <c r="S34" i="9" s="1"/>
  <c r="Q57" i="14" a="1"/>
  <c r="Q57" i="14" s="1"/>
  <c r="R57" i="14" s="1"/>
  <c r="S57" i="14" s="1"/>
  <c r="K57" i="14" s="1"/>
  <c r="Q56" i="10" a="1"/>
  <c r="Q56" i="10" s="1"/>
  <c r="R56" i="10" s="1"/>
  <c r="S56" i="10" s="1"/>
  <c r="Q49" i="9" a="1"/>
  <c r="Q49" i="9" s="1"/>
  <c r="R49" i="9" s="1"/>
  <c r="S49" i="9" s="1"/>
  <c r="K49" i="9" s="1"/>
  <c r="Q25" i="9" a="1"/>
  <c r="Q25" i="9" s="1"/>
  <c r="R25" i="9" s="1"/>
  <c r="S25" i="9" s="1"/>
  <c r="K25" i="9" s="1"/>
  <c r="Q56" i="14" a="1"/>
  <c r="Q56" i="14" s="1"/>
  <c r="R56" i="14" s="1"/>
  <c r="S56" i="14" s="1"/>
  <c r="Q32" i="14" a="1"/>
  <c r="Q32" i="14" s="1"/>
  <c r="R32" i="14" s="1"/>
  <c r="S32" i="14" s="1"/>
  <c r="Q31" i="10" a="1"/>
  <c r="Q31" i="10" s="1"/>
  <c r="R31" i="10" s="1"/>
  <c r="S31" i="10" s="1"/>
  <c r="K31" i="10" s="1"/>
  <c r="Q16" i="9" a="1"/>
  <c r="Q16" i="9" s="1"/>
  <c r="R16" i="9" s="1"/>
  <c r="S16" i="9" s="1"/>
  <c r="Q47" i="14" a="1"/>
  <c r="Q47" i="14" s="1"/>
  <c r="R47" i="14" s="1"/>
  <c r="S47" i="14" s="1"/>
  <c r="K47" i="14" s="1"/>
  <c r="Q31" i="14" a="1"/>
  <c r="Q31" i="14" s="1"/>
  <c r="R31" i="14" s="1"/>
  <c r="S31" i="14" s="1"/>
  <c r="K31" i="14" s="1"/>
  <c r="Q18" i="9" a="1"/>
  <c r="Q18" i="9" s="1"/>
  <c r="R18" i="9" s="1"/>
  <c r="S18" i="9" s="1"/>
  <c r="Q61" i="14" a="1"/>
  <c r="Q61" i="14" s="1"/>
  <c r="R61" i="14" s="1"/>
  <c r="S61" i="14" s="1"/>
  <c r="K61" i="14" s="1"/>
  <c r="Q59" i="9" a="1"/>
  <c r="Q59" i="9" s="1"/>
  <c r="R59" i="9" s="1"/>
  <c r="S59" i="9" s="1"/>
  <c r="K59" i="9" s="1"/>
  <c r="Q54" i="9" a="1"/>
  <c r="Q54" i="9" s="1"/>
  <c r="R54" i="9" s="1"/>
  <c r="S54" i="9" s="1"/>
  <c r="Q52" i="10" a="1"/>
  <c r="Q52" i="10" s="1"/>
  <c r="R52" i="10" s="1"/>
  <c r="S52" i="10" s="1"/>
  <c r="T26" i="3"/>
  <c r="S26" i="3"/>
  <c r="S30" i="3"/>
  <c r="T30" i="3" s="1"/>
  <c r="T34" i="3"/>
  <c r="S34" i="3"/>
  <c r="Q44" i="10" a="1"/>
  <c r="Q44" i="10" s="1"/>
  <c r="R44" i="10" s="1"/>
  <c r="S44" i="10" s="1"/>
  <c r="Q61" i="9" a="1"/>
  <c r="Q61" i="9" s="1"/>
  <c r="R61" i="9" s="1"/>
  <c r="S61" i="9" s="1"/>
  <c r="K61" i="9" s="1"/>
  <c r="Q60" i="14" a="1"/>
  <c r="Q60" i="14" s="1"/>
  <c r="R60" i="14" s="1"/>
  <c r="S60" i="14" s="1"/>
  <c r="Q20" i="14" a="1"/>
  <c r="Q20" i="14" s="1"/>
  <c r="R20" i="14" s="1"/>
  <c r="S20" i="14" s="1"/>
  <c r="Q47" i="9" a="1"/>
  <c r="Q47" i="9" s="1"/>
  <c r="R47" i="9" s="1"/>
  <c r="S47" i="9" s="1"/>
  <c r="K47" i="9" s="1"/>
  <c r="Q41" i="14" a="1"/>
  <c r="Q41" i="14" s="1"/>
  <c r="R41" i="14" s="1"/>
  <c r="S41" i="14" s="1"/>
  <c r="K41" i="14" s="1"/>
  <c r="Q33" i="9" a="1"/>
  <c r="Q33" i="9" s="1"/>
  <c r="R33" i="9" s="1"/>
  <c r="S33" i="9" s="1"/>
  <c r="K33" i="9" s="1"/>
  <c r="Q56" i="9" a="1"/>
  <c r="Q56" i="9" s="1"/>
  <c r="R56" i="9" s="1"/>
  <c r="S56" i="9" s="1"/>
  <c r="Q54" i="14" a="1"/>
  <c r="Q54" i="14" s="1"/>
  <c r="R54" i="14" s="1"/>
  <c r="S54" i="14" s="1"/>
  <c r="U28" i="3" a="1"/>
  <c r="U28" i="3" s="1"/>
  <c r="V28" i="3" s="1"/>
  <c r="W28" i="3" s="1"/>
  <c r="O28" i="3" s="1"/>
  <c r="R28" i="3"/>
  <c r="Q28" i="3"/>
  <c r="Q34" i="14" a="1"/>
  <c r="Q34" i="14" s="1"/>
  <c r="R34" i="14" s="1"/>
  <c r="S34" i="14" s="1"/>
  <c r="Q41" i="9" a="1"/>
  <c r="Q41" i="9" s="1"/>
  <c r="R41" i="9" s="1"/>
  <c r="S41" i="9" s="1"/>
  <c r="K41" i="9" s="1"/>
  <c r="Q44" i="9" a="1"/>
  <c r="Q44" i="9" s="1"/>
  <c r="R44" i="9" s="1"/>
  <c r="S44" i="9" s="1"/>
  <c r="Q27" i="9" a="1"/>
  <c r="Q27" i="9" s="1"/>
  <c r="R27" i="9" s="1"/>
  <c r="S27" i="9" s="1"/>
  <c r="K27" i="9" s="1"/>
  <c r="Q55" i="9" a="1"/>
  <c r="Q55" i="9" s="1"/>
  <c r="R55" i="9" s="1"/>
  <c r="S55" i="9" s="1"/>
  <c r="K55" i="9" s="1"/>
  <c r="U29" i="3" a="1"/>
  <c r="U29" i="3" s="1"/>
  <c r="V29" i="3" s="1"/>
  <c r="W29" i="3" s="1"/>
  <c r="O29" i="3" s="1"/>
  <c r="Q29" i="3"/>
  <c r="R29" i="3" s="1"/>
  <c r="Q30" i="3"/>
  <c r="R30" i="3" s="1"/>
  <c r="U30" i="3" a="1"/>
  <c r="U30" i="3" s="1"/>
  <c r="V30" i="3" s="1"/>
  <c r="W30" i="3" s="1"/>
  <c r="O30" i="3" s="1"/>
  <c r="Q46" i="9" a="1"/>
  <c r="Q46" i="9" s="1"/>
  <c r="R46" i="9" s="1"/>
  <c r="S46" i="9" s="1"/>
  <c r="Q22" i="9" a="1"/>
  <c r="Q22" i="9" s="1"/>
  <c r="R22" i="9" s="1"/>
  <c r="S22" i="9" s="1"/>
  <c r="Q45" i="14" a="1"/>
  <c r="Q45" i="14" s="1"/>
  <c r="R45" i="14" s="1"/>
  <c r="S45" i="14" s="1"/>
  <c r="K45" i="14" s="1"/>
  <c r="Q52" i="9" a="1"/>
  <c r="Q52" i="9" s="1"/>
  <c r="R52" i="9" s="1"/>
  <c r="S52" i="9" s="1"/>
  <c r="Q35" i="14" a="1"/>
  <c r="Q35" i="14" s="1"/>
  <c r="R35" i="14" s="1"/>
  <c r="S35" i="14" s="1"/>
  <c r="K35" i="14" s="1"/>
  <c r="Q27" i="14" a="1"/>
  <c r="Q27" i="14" s="1"/>
  <c r="R27" i="14" s="1"/>
  <c r="S27" i="14" s="1"/>
  <c r="K27" i="14" s="1"/>
  <c r="Q58" i="10" a="1"/>
  <c r="Q58" i="10" s="1"/>
  <c r="R58" i="10" s="1"/>
  <c r="S58" i="10" s="1"/>
  <c r="Q37" i="10" a="1"/>
  <c r="Q37" i="10" s="1"/>
  <c r="R37" i="10" s="1"/>
  <c r="S37" i="10" s="1"/>
  <c r="K37" i="10" s="1"/>
  <c r="Q19" i="9" a="1"/>
  <c r="Q19" i="9" s="1"/>
  <c r="R19" i="9" s="1"/>
  <c r="S19" i="9" s="1"/>
  <c r="K19" i="9" s="1"/>
  <c r="Q26" i="14" a="1"/>
  <c r="Q26" i="14" s="1"/>
  <c r="R26" i="14" s="1"/>
  <c r="S26" i="14" s="1"/>
  <c r="Q50" i="9" a="1"/>
  <c r="Q50" i="9" s="1"/>
  <c r="R50" i="9" s="1"/>
  <c r="S50" i="9" s="1"/>
  <c r="Q26" i="9" a="1"/>
  <c r="Q26" i="9" s="1"/>
  <c r="R26" i="9" s="1"/>
  <c r="S26" i="9" s="1"/>
  <c r="Q25" i="14" a="1"/>
  <c r="Q25" i="14" s="1"/>
  <c r="R25" i="14" s="1"/>
  <c r="S25" i="14" s="1"/>
  <c r="K25" i="14" s="1"/>
  <c r="Q57" i="9" a="1"/>
  <c r="Q57" i="9" s="1"/>
  <c r="R57" i="9" s="1"/>
  <c r="S57" i="9" s="1"/>
  <c r="K57" i="9" s="1"/>
  <c r="Q55" i="10" a="1"/>
  <c r="Q55" i="10" s="1"/>
  <c r="R55" i="10" s="1"/>
  <c r="S55" i="10" s="1"/>
  <c r="K55" i="10" s="1"/>
  <c r="Q32" i="9" a="1"/>
  <c r="Q32" i="9" s="1"/>
  <c r="R32" i="9" s="1"/>
  <c r="S32" i="9" s="1"/>
  <c r="Q54" i="10" a="1"/>
  <c r="Q54" i="10" s="1"/>
  <c r="R54" i="10" s="1"/>
  <c r="S54" i="10" s="1"/>
  <c r="U32" i="3" a="1"/>
  <c r="U32" i="3" s="1"/>
  <c r="V32" i="3" s="1"/>
  <c r="W32" i="3" s="1"/>
  <c r="O32" i="3" s="1"/>
  <c r="R32" i="3"/>
  <c r="Q32" i="3"/>
  <c r="Q40" i="10" a="1"/>
  <c r="Q40" i="10" s="1"/>
  <c r="R40" i="10" s="1"/>
  <c r="S40" i="10" s="1"/>
  <c r="Q20" i="9" a="1"/>
  <c r="Q20" i="9" s="1"/>
  <c r="R20" i="9" s="1"/>
  <c r="S20" i="9" s="1"/>
  <c r="Q16" i="14" a="1"/>
  <c r="Q16" i="14" s="1"/>
  <c r="R16" i="14" s="1"/>
  <c r="S16" i="14" s="1"/>
  <c r="U21" i="3" a="1"/>
  <c r="U21" i="3" s="1"/>
  <c r="V21" i="3" s="1"/>
  <c r="W21" i="3" s="1"/>
  <c r="O21" i="3" s="1"/>
  <c r="Q21" i="3"/>
  <c r="R21" i="3" s="1"/>
  <c r="Q21" i="14" a="1"/>
  <c r="Q21" i="14" s="1"/>
  <c r="R21" i="14" s="1"/>
  <c r="S21" i="14" s="1"/>
  <c r="K21" i="14" s="1"/>
  <c r="U26" i="3" a="1"/>
  <c r="U26" i="3" s="1"/>
  <c r="V26" i="3" s="1"/>
  <c r="W26" i="3" s="1"/>
  <c r="O26" i="3" s="1"/>
  <c r="Q26" i="3"/>
  <c r="R26" i="3" s="1"/>
  <c r="Q53" i="14" a="1"/>
  <c r="Q53" i="14" s="1"/>
  <c r="R53" i="14" s="1"/>
  <c r="S53" i="14" s="1"/>
  <c r="K53" i="14" s="1"/>
  <c r="Q29" i="14" a="1"/>
  <c r="Q29" i="14" s="1"/>
  <c r="R29" i="14" s="1"/>
  <c r="S29" i="14" s="1"/>
  <c r="K29" i="14" s="1"/>
  <c r="Q35" i="10" a="1"/>
  <c r="Q35" i="10" s="1"/>
  <c r="R35" i="10" s="1"/>
  <c r="S35" i="10" s="1"/>
  <c r="K35" i="10" s="1"/>
  <c r="Q29" i="9" a="1"/>
  <c r="Q29" i="9" s="1"/>
  <c r="R29" i="9" s="1"/>
  <c r="S29" i="9" s="1"/>
  <c r="K29" i="9" s="1"/>
  <c r="Q28" i="9" a="1"/>
  <c r="Q28" i="9" s="1"/>
  <c r="R28" i="9" s="1"/>
  <c r="S28" i="9" s="1"/>
  <c r="Q51" i="14" a="1"/>
  <c r="Q51" i="14" s="1"/>
  <c r="R51" i="14" s="1"/>
  <c r="S51" i="14" s="1"/>
  <c r="K51" i="14" s="1"/>
  <c r="Q34" i="10" a="1"/>
  <c r="Q34" i="10" s="1"/>
  <c r="R34" i="10" s="1"/>
  <c r="S34" i="10" s="1"/>
  <c r="Q62" i="14" a="1"/>
  <c r="Q62" i="14" s="1"/>
  <c r="R62" i="14" s="1"/>
  <c r="S62" i="14" s="1"/>
  <c r="Q51" i="9" a="1"/>
  <c r="Q51" i="9" s="1"/>
  <c r="R51" i="9" s="1"/>
  <c r="S51" i="9" s="1"/>
  <c r="K51" i="9" s="1"/>
  <c r="Q35" i="9" a="1"/>
  <c r="Q35" i="9" s="1"/>
  <c r="R35" i="9" s="1"/>
  <c r="S35" i="9" s="1"/>
  <c r="K35" i="9" s="1"/>
  <c r="Q41" i="10" a="1"/>
  <c r="Q41" i="10" s="1"/>
  <c r="R41" i="10" s="1"/>
  <c r="S41" i="10" s="1"/>
  <c r="K41" i="10" s="1"/>
  <c r="Q61" i="10" a="1"/>
  <c r="Q61" i="10" s="1"/>
  <c r="R61" i="10" s="1"/>
  <c r="S61" i="10" s="1"/>
  <c r="K61" i="10" s="1"/>
  <c r="Q39" i="9" a="1"/>
  <c r="Q39" i="9" s="1"/>
  <c r="R39" i="9" s="1"/>
  <c r="S39" i="9" s="1"/>
  <c r="K39" i="9" s="1"/>
  <c r="Q17" i="9" a="1"/>
  <c r="Q17" i="9" s="1"/>
  <c r="R17" i="9" s="1"/>
  <c r="S17" i="9" s="1"/>
  <c r="K17" i="9" s="1"/>
  <c r="Q48" i="14" a="1"/>
  <c r="Q48" i="14" s="1"/>
  <c r="R48" i="14" s="1"/>
  <c r="S48" i="14" s="1"/>
  <c r="Q46" i="14" a="1"/>
  <c r="Q46" i="14" s="1"/>
  <c r="R46" i="14" s="1"/>
  <c r="S46" i="14" s="1"/>
  <c r="Q23" i="14" a="1"/>
  <c r="Q23" i="14" s="1"/>
  <c r="R23" i="14" s="1"/>
  <c r="S23" i="14" s="1"/>
  <c r="K23" i="14" s="1"/>
  <c r="Q49" i="14" a="1"/>
  <c r="Q49" i="14" s="1"/>
  <c r="R49" i="14" s="1"/>
  <c r="S49" i="14" s="1"/>
  <c r="K49" i="14" s="1"/>
  <c r="Q38" i="10" a="1"/>
  <c r="Q38" i="10" s="1"/>
  <c r="R38" i="10" s="1"/>
  <c r="S38" i="10" s="1"/>
  <c r="Q57" i="10" a="1"/>
  <c r="Q57" i="10" s="1"/>
  <c r="R57" i="10" s="1"/>
  <c r="S57" i="10" s="1"/>
  <c r="K57" i="10" s="1"/>
  <c r="Q40" i="9" a="1"/>
  <c r="Q40" i="9" s="1"/>
  <c r="R40" i="9" s="1"/>
  <c r="S40" i="9" s="1"/>
  <c r="Q25" i="3"/>
  <c r="R25" i="3" s="1"/>
  <c r="U25" i="3" a="1"/>
  <c r="U25" i="3" s="1"/>
  <c r="V25" i="3" s="1"/>
  <c r="W25" i="3" s="1"/>
  <c r="O25" i="3" s="1"/>
  <c r="U22" i="3" a="1"/>
  <c r="U22" i="3" s="1"/>
  <c r="V22" i="3" s="1"/>
  <c r="W22" i="3" s="1"/>
  <c r="O22" i="3" s="1"/>
  <c r="Q22" i="3"/>
  <c r="R22" i="3" s="1"/>
  <c r="U34" i="3" a="1"/>
  <c r="U34" i="3" s="1"/>
  <c r="V34" i="3" s="1"/>
  <c r="W34" i="3" s="1"/>
  <c r="O34" i="3" s="1"/>
  <c r="Q34" i="3"/>
  <c r="R34" i="3" s="1"/>
  <c r="N19" i="3"/>
  <c r="S19" i="3"/>
  <c r="T19" i="3" s="1"/>
  <c r="T23" i="3"/>
  <c r="S23" i="3"/>
  <c r="S31" i="3"/>
  <c r="T31" i="3" s="1"/>
  <c r="U19" i="3" a="1"/>
  <c r="U19" i="3" s="1"/>
  <c r="V19" i="3" s="1"/>
  <c r="W19" i="3" s="1"/>
  <c r="O19" i="3" s="1"/>
  <c r="Q19" i="3"/>
  <c r="R19" i="3" s="1"/>
  <c r="Q23" i="3"/>
  <c r="R23" i="3" s="1"/>
  <c r="U23" i="3" a="1"/>
  <c r="U23" i="3" s="1"/>
  <c r="V23" i="3" s="1"/>
  <c r="W23" i="3" s="1"/>
  <c r="O23" i="3" s="1"/>
  <c r="U27" i="3" a="1"/>
  <c r="U27" i="3" s="1"/>
  <c r="V27" i="3" s="1"/>
  <c r="W27" i="3" s="1"/>
  <c r="O27" i="3" s="1"/>
  <c r="Q27" i="3"/>
  <c r="R27" i="3" s="1"/>
  <c r="U31" i="3" a="1"/>
  <c r="U31" i="3" s="1"/>
  <c r="V31" i="3" s="1"/>
  <c r="W31" i="3" s="1"/>
  <c r="O31" i="3" s="1"/>
  <c r="Q31" i="3"/>
  <c r="R31" i="3" s="1"/>
  <c r="Q31" i="9" a="1"/>
  <c r="Q31" i="9" s="1"/>
  <c r="R31" i="9" s="1"/>
  <c r="S31" i="9" s="1"/>
  <c r="K31" i="9" s="1"/>
  <c r="Q45" i="9" a="1"/>
  <c r="Q45" i="9" s="1"/>
  <c r="R45" i="9" s="1"/>
  <c r="S45" i="9" s="1"/>
  <c r="K45" i="9" s="1"/>
  <c r="Q36" i="14" a="1"/>
  <c r="Q36" i="14" s="1"/>
  <c r="R36" i="14" s="1"/>
  <c r="S36" i="14" s="1"/>
  <c r="Q50" i="10" a="1"/>
  <c r="Q50" i="10" s="1"/>
  <c r="R50" i="10" s="1"/>
  <c r="S50" i="10" s="1"/>
  <c r="Q49" i="10" a="1"/>
  <c r="Q49" i="10" s="1"/>
  <c r="R49" i="10" s="1"/>
  <c r="S49" i="10" s="1"/>
  <c r="K49" i="10" s="1"/>
  <c r="Q42" i="14" a="1"/>
  <c r="Q42" i="14" s="1"/>
  <c r="R42" i="14" s="1"/>
  <c r="S42" i="14" s="1"/>
  <c r="Q42" i="9" a="1"/>
  <c r="Q42" i="9" s="1"/>
  <c r="R42" i="9" s="1"/>
  <c r="S42" i="9" s="1"/>
  <c r="Q48" i="10" a="1"/>
  <c r="Q48" i="10" s="1"/>
  <c r="R48" i="10" s="1"/>
  <c r="S48" i="10" s="1"/>
  <c r="Q24" i="14" a="1"/>
  <c r="Q24" i="14" s="1"/>
  <c r="R24" i="14" s="1"/>
  <c r="S24" i="14" s="1"/>
  <c r="Q53" i="10" a="1"/>
  <c r="Q53" i="10" s="1"/>
  <c r="R53" i="10" s="1"/>
  <c r="S53" i="10" s="1"/>
  <c r="K53" i="10" s="1"/>
  <c r="Q48" i="9" a="1"/>
  <c r="Q48" i="9" s="1"/>
  <c r="R48" i="9" s="1"/>
  <c r="S48" i="9" s="1"/>
  <c r="Q55" i="14" a="1"/>
  <c r="Q55" i="14" s="1"/>
  <c r="R55" i="14" s="1"/>
  <c r="S55" i="14" s="1"/>
  <c r="K55" i="14" s="1"/>
  <c r="Q20" i="3"/>
  <c r="R20" i="3" s="1"/>
  <c r="U20" i="3" a="1"/>
  <c r="U20" i="3" s="1"/>
  <c r="V20" i="3" s="1"/>
  <c r="W20" i="3" s="1"/>
  <c r="O20" i="3" s="1"/>
  <c r="Q58" i="14" a="1"/>
  <c r="Q58" i="14" s="1"/>
  <c r="R58" i="14" s="1"/>
  <c r="S58" i="14" s="1"/>
  <c r="Q17" i="14" a="1"/>
  <c r="Q17" i="14" s="1"/>
  <c r="R17" i="14" s="1"/>
  <c r="S17" i="14" s="1"/>
  <c r="K17" i="14" s="1"/>
  <c r="Q53" i="9" a="1"/>
  <c r="Q53" i="9" s="1"/>
  <c r="R53" i="9" s="1"/>
  <c r="S53" i="9" s="1"/>
  <c r="K53" i="9" s="1"/>
  <c r="T24" i="3"/>
  <c r="S24" i="3"/>
  <c r="S32" i="3"/>
  <c r="T32" i="3" s="1"/>
  <c r="Q62" i="9" a="1"/>
  <c r="Q62" i="9" s="1"/>
  <c r="R62" i="9" s="1"/>
  <c r="S62" i="9" s="1"/>
  <c r="Q60" i="10" a="1"/>
  <c r="Q60" i="10" s="1"/>
  <c r="R60" i="10" s="1"/>
  <c r="S60" i="10" s="1"/>
  <c r="Q30" i="14" a="1"/>
  <c r="Q30" i="14" s="1"/>
  <c r="R30" i="14" s="1"/>
  <c r="S30" i="14" s="1"/>
  <c r="U29" i="2" a="1"/>
  <c r="U29" i="2" s="1"/>
  <c r="V29" i="2" s="1"/>
  <c r="W29" i="2" s="1"/>
  <c r="O29" i="2" s="1"/>
  <c r="U24" i="2" a="1"/>
  <c r="U24" i="2" s="1"/>
  <c r="V24" i="2" s="1"/>
  <c r="W24" i="2" s="1"/>
  <c r="O24" i="2" s="1"/>
  <c r="U31" i="2" a="1"/>
  <c r="U31" i="2" s="1"/>
  <c r="V31" i="2" s="1"/>
  <c r="W31" i="2" s="1"/>
  <c r="O31" i="2" s="1"/>
  <c r="U18" i="2" a="1"/>
  <c r="U18" i="2" s="1"/>
  <c r="V18" i="2" s="1"/>
  <c r="W18" i="2" s="1"/>
  <c r="O18" i="2" s="1"/>
  <c r="U20" i="2" a="1"/>
  <c r="U20" i="2" s="1"/>
  <c r="V20" i="2" s="1"/>
  <c r="W20" i="2" s="1"/>
  <c r="O20" i="2" s="1"/>
  <c r="U17" i="2" a="1"/>
  <c r="U17" i="2" s="1"/>
  <c r="V17" i="2" s="1"/>
  <c r="W17" i="2" s="1"/>
  <c r="O17" i="2" s="1"/>
  <c r="U22" i="2" a="1"/>
  <c r="U22" i="2" s="1"/>
  <c r="V22" i="2" s="1"/>
  <c r="W22" i="2" s="1"/>
  <c r="O22" i="2" s="1"/>
  <c r="U21" i="2" a="1"/>
  <c r="U21" i="2" s="1"/>
  <c r="V21" i="2" s="1"/>
  <c r="W21" i="2" s="1"/>
  <c r="O21" i="2" s="1"/>
  <c r="U16" i="2" a="1"/>
  <c r="U16" i="2" s="1"/>
  <c r="V16" i="2" s="1"/>
  <c r="W16" i="2" s="1"/>
  <c r="O16" i="2" s="1"/>
  <c r="U26" i="2" a="1"/>
  <c r="U26" i="2" s="1"/>
  <c r="V26" i="2" s="1"/>
  <c r="W26" i="2" s="1"/>
  <c r="O26" i="2" s="1"/>
  <c r="U25" i="2" a="1"/>
  <c r="U25" i="2" s="1"/>
  <c r="V25" i="2" s="1"/>
  <c r="W25" i="2" s="1"/>
  <c r="O25" i="2" s="1"/>
  <c r="U19" i="2" a="1"/>
  <c r="U19" i="2" s="1"/>
  <c r="V19" i="2" s="1"/>
  <c r="W19" i="2" s="1"/>
  <c r="O19" i="2" s="1"/>
  <c r="U28" i="2" a="1"/>
  <c r="U28" i="2" s="1"/>
  <c r="V28" i="2" s="1"/>
  <c r="W28" i="2" s="1"/>
  <c r="O28" i="2" s="1"/>
  <c r="U23" i="2" a="1"/>
  <c r="U23" i="2" s="1"/>
  <c r="V23" i="2" s="1"/>
  <c r="W23" i="2" s="1"/>
  <c r="O23" i="2" s="1"/>
  <c r="U30" i="2" a="1"/>
  <c r="U30" i="2" s="1"/>
  <c r="V30" i="2" s="1"/>
  <c r="W30" i="2" s="1"/>
  <c r="O30" i="2" s="1"/>
  <c r="U27" i="2" a="1"/>
  <c r="U27" i="2" s="1"/>
  <c r="V27" i="2" s="1"/>
  <c r="W27" i="2" s="1"/>
  <c r="O27" i="2" s="1"/>
  <c r="Q16" i="6" a="1"/>
  <c r="Q16" i="6" s="1"/>
  <c r="R16" i="6" s="1"/>
  <c r="S16" i="6" s="1"/>
  <c r="Q19" i="14" a="1"/>
  <c r="Q19" i="14" s="1"/>
  <c r="R19" i="14" s="1"/>
  <c r="S19" i="14" s="1"/>
  <c r="K19" i="14" s="1"/>
  <c r="Q38" i="14" a="1"/>
  <c r="Q38" i="14" s="1"/>
  <c r="R38" i="14" s="1"/>
  <c r="S38" i="14" s="1"/>
  <c r="Q18" i="14" a="1"/>
  <c r="Q18" i="14" s="1"/>
  <c r="R18" i="14" s="1"/>
  <c r="S18" i="14" s="1"/>
  <c r="Q33" i="14" a="1"/>
  <c r="Q33" i="14" s="1"/>
  <c r="R33" i="14" s="1"/>
  <c r="S33" i="14" s="1"/>
  <c r="K33" i="14" s="1"/>
  <c r="Q40" i="14" a="1"/>
  <c r="Q40" i="14" s="1"/>
  <c r="R40" i="14" s="1"/>
  <c r="S40" i="14" s="1"/>
  <c r="Q47" i="10" a="1"/>
  <c r="Q47" i="10" s="1"/>
  <c r="R47" i="10" s="1"/>
  <c r="S47" i="10" s="1"/>
  <c r="K47" i="10" s="1"/>
  <c r="Q24" i="9" a="1"/>
  <c r="Q24" i="9" s="1"/>
  <c r="R24" i="9" s="1"/>
  <c r="S24" i="9" s="1"/>
  <c r="Q46" i="10" a="1"/>
  <c r="Q46" i="10" s="1"/>
  <c r="R46" i="10" s="1"/>
  <c r="S46" i="10" s="1"/>
  <c r="Q45" i="10" a="1"/>
  <c r="Q45" i="10" s="1"/>
  <c r="R45" i="10" s="1"/>
  <c r="S45" i="10" s="1"/>
  <c r="K45" i="10" s="1"/>
  <c r="N24" i="3"/>
  <c r="N27" i="3"/>
  <c r="N32" i="3"/>
  <c r="N21" i="3"/>
  <c r="N25" i="3"/>
  <c r="N29" i="3"/>
  <c r="N33" i="3"/>
  <c r="N23" i="3"/>
  <c r="N31" i="3"/>
  <c r="N34" i="3"/>
  <c r="N20" i="3"/>
  <c r="N28" i="3"/>
  <c r="N26" i="3"/>
  <c r="N30" i="3"/>
  <c r="N22" i="3"/>
  <c r="J30" i="10"/>
  <c r="J29" i="10"/>
  <c r="J28" i="10"/>
  <c r="J27" i="10"/>
  <c r="J26" i="10"/>
  <c r="J25" i="10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L31" i="2"/>
  <c r="L30" i="2"/>
  <c r="L29" i="2"/>
  <c r="S29" i="2" s="1"/>
  <c r="T29" i="2" s="1"/>
  <c r="L28" i="2"/>
  <c r="L27" i="2"/>
  <c r="L26" i="2"/>
  <c r="S26" i="2" s="1"/>
  <c r="T26" i="2" s="1"/>
  <c r="L25" i="2"/>
  <c r="S25" i="2" s="1"/>
  <c r="T25" i="2" s="1"/>
  <c r="L24" i="2"/>
  <c r="L23" i="2"/>
  <c r="L22" i="2"/>
  <c r="L21" i="2"/>
  <c r="S21" i="2" s="1"/>
  <c r="T21" i="2" s="1"/>
  <c r="L20" i="2"/>
  <c r="C9" i="9" l="1"/>
  <c r="C12" i="9"/>
  <c r="C10" i="9"/>
  <c r="O28" i="5"/>
  <c r="M28" i="5"/>
  <c r="U28" i="5" s="1"/>
  <c r="M24" i="5"/>
  <c r="U24" i="5" s="1"/>
  <c r="O24" i="5"/>
  <c r="P24" i="5" s="1"/>
  <c r="P28" i="10"/>
  <c r="Q28" i="10" a="1"/>
  <c r="Q28" i="10" s="1"/>
  <c r="R28" i="10" s="1"/>
  <c r="S28" i="10" s="1"/>
  <c r="N28" i="10"/>
  <c r="Q21" i="5" a="1"/>
  <c r="Q21" i="5" s="1"/>
  <c r="R21" i="5" s="1"/>
  <c r="S21" i="5" s="1"/>
  <c r="K21" i="5" s="1"/>
  <c r="O21" i="5"/>
  <c r="P21" i="5" s="1"/>
  <c r="M21" i="5"/>
  <c r="N21" i="5" s="1"/>
  <c r="M29" i="5"/>
  <c r="N29" i="5" s="1"/>
  <c r="P29" i="5"/>
  <c r="O29" i="5"/>
  <c r="Q29" i="5" a="1"/>
  <c r="Q29" i="5" s="1"/>
  <c r="R29" i="5" s="1"/>
  <c r="S29" i="5" s="1"/>
  <c r="K29" i="5" s="1"/>
  <c r="O29" i="10"/>
  <c r="P29" i="10" s="1"/>
  <c r="M29" i="10"/>
  <c r="N29" i="10" s="1"/>
  <c r="Q29" i="10" a="1"/>
  <c r="Q29" i="10" s="1"/>
  <c r="R29" i="10" s="1"/>
  <c r="S29" i="10" s="1"/>
  <c r="K29" i="10" s="1"/>
  <c r="Q27" i="5" a="1"/>
  <c r="Q27" i="5" s="1"/>
  <c r="R27" i="5" s="1"/>
  <c r="S27" i="5" s="1"/>
  <c r="K27" i="5" s="1"/>
  <c r="O27" i="5"/>
  <c r="P27" i="5" s="1"/>
  <c r="M27" i="5"/>
  <c r="N27" i="5" s="1"/>
  <c r="Q28" i="5" a="1"/>
  <c r="Q28" i="5" s="1"/>
  <c r="R28" i="5" s="1"/>
  <c r="S28" i="5" s="1"/>
  <c r="K28" i="5" s="1"/>
  <c r="P28" i="5"/>
  <c r="N28" i="5"/>
  <c r="V28" i="5" s="1"/>
  <c r="O22" i="5"/>
  <c r="M22" i="5"/>
  <c r="Q22" i="5" a="1"/>
  <c r="Q22" i="5" s="1"/>
  <c r="R22" i="5" s="1"/>
  <c r="S22" i="5" s="1"/>
  <c r="K22" i="5" s="1"/>
  <c r="Q30" i="10" a="1"/>
  <c r="Q30" i="10" s="1"/>
  <c r="R30" i="10" s="1"/>
  <c r="S30" i="10" s="1"/>
  <c r="N30" i="10"/>
  <c r="P30" i="10"/>
  <c r="O23" i="5"/>
  <c r="P23" i="5" s="1"/>
  <c r="Q23" i="5" a="1"/>
  <c r="Q23" i="5" s="1"/>
  <c r="R23" i="5" s="1"/>
  <c r="S23" i="5" s="1"/>
  <c r="K23" i="5" s="1"/>
  <c r="M23" i="5"/>
  <c r="N23" i="5" s="1"/>
  <c r="O31" i="5"/>
  <c r="P31" i="5" s="1"/>
  <c r="M31" i="5"/>
  <c r="N31" i="5" s="1"/>
  <c r="Q31" i="5" a="1"/>
  <c r="Q31" i="5" s="1"/>
  <c r="R31" i="5" s="1"/>
  <c r="S31" i="5" s="1"/>
  <c r="K31" i="5" s="1"/>
  <c r="Q24" i="5" a="1"/>
  <c r="Q24" i="5" s="1"/>
  <c r="R24" i="5" s="1"/>
  <c r="S24" i="5" s="1"/>
  <c r="K24" i="5" s="1"/>
  <c r="O32" i="5"/>
  <c r="P32" i="5" s="1"/>
  <c r="Q32" i="5" a="1"/>
  <c r="Q32" i="5" s="1"/>
  <c r="R32" i="5" s="1"/>
  <c r="S32" i="5" s="1"/>
  <c r="K32" i="5" s="1"/>
  <c r="M32" i="5"/>
  <c r="N32" i="5" s="1"/>
  <c r="M20" i="5"/>
  <c r="N20" i="5" s="1"/>
  <c r="O20" i="5"/>
  <c r="P20" i="5" s="1"/>
  <c r="Q20" i="5" a="1"/>
  <c r="Q20" i="5" s="1"/>
  <c r="R20" i="5" s="1"/>
  <c r="S20" i="5" s="1"/>
  <c r="K20" i="5" s="1"/>
  <c r="O30" i="5"/>
  <c r="P30" i="5" s="1"/>
  <c r="M30" i="5"/>
  <c r="N30" i="5" s="1"/>
  <c r="Q30" i="5" a="1"/>
  <c r="Q30" i="5" s="1"/>
  <c r="R30" i="5" s="1"/>
  <c r="S30" i="5" s="1"/>
  <c r="K30" i="5" s="1"/>
  <c r="O25" i="5"/>
  <c r="P25" i="5" s="1"/>
  <c r="Q25" i="5" a="1"/>
  <c r="Q25" i="5" s="1"/>
  <c r="R25" i="5" s="1"/>
  <c r="S25" i="5" s="1"/>
  <c r="K25" i="5" s="1"/>
  <c r="M25" i="5"/>
  <c r="N25" i="5" s="1"/>
  <c r="O25" i="10"/>
  <c r="P25" i="10" s="1"/>
  <c r="Q25" i="10" a="1"/>
  <c r="Q25" i="10" s="1"/>
  <c r="R25" i="10" s="1"/>
  <c r="S25" i="10" s="1"/>
  <c r="K25" i="10" s="1"/>
  <c r="M25" i="10"/>
  <c r="N25" i="10" s="1"/>
  <c r="O27" i="10"/>
  <c r="P27" i="10" s="1"/>
  <c r="Q27" i="10" a="1"/>
  <c r="Q27" i="10" s="1"/>
  <c r="R27" i="10" s="1"/>
  <c r="S27" i="10" s="1"/>
  <c r="K27" i="10" s="1"/>
  <c r="M27" i="10"/>
  <c r="N27" i="10" s="1"/>
  <c r="O26" i="5"/>
  <c r="P26" i="5" s="1"/>
  <c r="Q26" i="5" a="1"/>
  <c r="Q26" i="5" s="1"/>
  <c r="R26" i="5" s="1"/>
  <c r="S26" i="5" s="1"/>
  <c r="K26" i="5" s="1"/>
  <c r="M26" i="5"/>
  <c r="N26" i="5" s="1"/>
  <c r="Q26" i="10" a="1"/>
  <c r="Q26" i="10" s="1"/>
  <c r="R26" i="10" s="1"/>
  <c r="S26" i="10" s="1"/>
  <c r="P26" i="10"/>
  <c r="N26" i="10"/>
  <c r="S31" i="2"/>
  <c r="T31" i="2" s="1"/>
  <c r="S27" i="2"/>
  <c r="T27" i="2" s="1"/>
  <c r="S20" i="2"/>
  <c r="T20" i="2" s="1"/>
  <c r="N28" i="2"/>
  <c r="T28" i="2"/>
  <c r="S22" i="2"/>
  <c r="T22" i="2" s="1"/>
  <c r="S30" i="2"/>
  <c r="T30" i="2" s="1"/>
  <c r="S23" i="2"/>
  <c r="T23" i="2" s="1"/>
  <c r="S24" i="2"/>
  <c r="T24" i="2" s="1"/>
  <c r="N24" i="2"/>
  <c r="N21" i="2"/>
  <c r="N25" i="2"/>
  <c r="N26" i="2"/>
  <c r="N30" i="2"/>
  <c r="N23" i="2"/>
  <c r="N27" i="2"/>
  <c r="N31" i="2"/>
  <c r="N29" i="2"/>
  <c r="N20" i="2"/>
  <c r="N22" i="2"/>
  <c r="N24" i="5" l="1"/>
  <c r="V24" i="5" s="1"/>
  <c r="N22" i="5"/>
  <c r="V22" i="5" s="1"/>
  <c r="U22" i="5"/>
  <c r="C9" i="5" s="1"/>
  <c r="C11" i="5"/>
  <c r="P22" i="5"/>
  <c r="C7" i="5"/>
  <c r="C8" i="5"/>
  <c r="J19" i="5"/>
  <c r="J17" i="5"/>
  <c r="J16" i="5"/>
  <c r="J18" i="5"/>
  <c r="O18" i="5" l="1"/>
  <c r="P18" i="5" s="1"/>
  <c r="Q18" i="5" a="1"/>
  <c r="Q18" i="5" s="1"/>
  <c r="R18" i="5" s="1"/>
  <c r="S18" i="5" s="1"/>
  <c r="K18" i="5" s="1"/>
  <c r="M18" i="5"/>
  <c r="N18" i="5" s="1"/>
  <c r="Q16" i="5" a="1"/>
  <c r="Q16" i="5" s="1"/>
  <c r="R16" i="5" s="1"/>
  <c r="S16" i="5" s="1"/>
  <c r="K16" i="5" s="1"/>
  <c r="O16" i="5"/>
  <c r="P16" i="5" s="1"/>
  <c r="M17" i="5"/>
  <c r="N17" i="5" s="1"/>
  <c r="Q17" i="5" a="1"/>
  <c r="Q17" i="5" s="1"/>
  <c r="R17" i="5" s="1"/>
  <c r="S17" i="5" s="1"/>
  <c r="K17" i="5" s="1"/>
  <c r="O17" i="5"/>
  <c r="P17" i="5" s="1"/>
  <c r="Q19" i="5" a="1"/>
  <c r="Q19" i="5" s="1"/>
  <c r="R19" i="5" s="1"/>
  <c r="S19" i="5" s="1"/>
  <c r="K19" i="5" s="1"/>
  <c r="O19" i="5"/>
  <c r="P19" i="5" s="1"/>
  <c r="M19" i="5"/>
  <c r="N19" i="5" s="1"/>
  <c r="J24" i="10"/>
  <c r="J23" i="10"/>
  <c r="J22" i="10"/>
  <c r="J21" i="10"/>
  <c r="J20" i="10"/>
  <c r="J19" i="10"/>
  <c r="J18" i="10"/>
  <c r="J17" i="10"/>
  <c r="J16" i="10"/>
  <c r="Q16" i="10" s="1" a="1"/>
  <c r="Q16" i="10" s="1"/>
  <c r="R16" i="10" s="1"/>
  <c r="S16" i="10" s="1"/>
  <c r="N16" i="5" l="1"/>
  <c r="Q20" i="10" a="1"/>
  <c r="Q20" i="10" s="1"/>
  <c r="R20" i="10" s="1"/>
  <c r="S20" i="10" s="1"/>
  <c r="N20" i="10"/>
  <c r="P20" i="10"/>
  <c r="Q21" i="10" a="1"/>
  <c r="Q21" i="10" s="1"/>
  <c r="R21" i="10" s="1"/>
  <c r="S21" i="10" s="1"/>
  <c r="K21" i="10" s="1"/>
  <c r="O21" i="10"/>
  <c r="P21" i="10" s="1"/>
  <c r="M21" i="10"/>
  <c r="N21" i="10" s="1"/>
  <c r="P22" i="10"/>
  <c r="N22" i="10"/>
  <c r="Q22" i="10" a="1"/>
  <c r="Q22" i="10" s="1"/>
  <c r="R22" i="10" s="1"/>
  <c r="S22" i="10" s="1"/>
  <c r="N24" i="10"/>
  <c r="Q24" i="10" a="1"/>
  <c r="Q24" i="10" s="1"/>
  <c r="R24" i="10" s="1"/>
  <c r="S24" i="10" s="1"/>
  <c r="P24" i="10"/>
  <c r="Q23" i="10" a="1"/>
  <c r="Q23" i="10" s="1"/>
  <c r="R23" i="10" s="1"/>
  <c r="S23" i="10" s="1"/>
  <c r="K23" i="10" s="1"/>
  <c r="O23" i="10"/>
  <c r="P23" i="10" s="1"/>
  <c r="M23" i="10"/>
  <c r="N23" i="10" s="1"/>
  <c r="Q17" i="10" a="1"/>
  <c r="Q17" i="10" s="1"/>
  <c r="R17" i="10" s="1"/>
  <c r="S17" i="10" s="1"/>
  <c r="K17" i="10" s="1"/>
  <c r="O17" i="10"/>
  <c r="P17" i="10" s="1"/>
  <c r="M17" i="10"/>
  <c r="N17" i="10" s="1"/>
  <c r="P18" i="10"/>
  <c r="Q18" i="10" a="1"/>
  <c r="Q18" i="10" s="1"/>
  <c r="R18" i="10" s="1"/>
  <c r="S18" i="10" s="1"/>
  <c r="N18" i="10"/>
  <c r="Q19" i="10" a="1"/>
  <c r="Q19" i="10" s="1"/>
  <c r="R19" i="10" s="1"/>
  <c r="S19" i="10" s="1"/>
  <c r="K19" i="10" s="1"/>
  <c r="M19" i="10"/>
  <c r="N19" i="10" s="1"/>
  <c r="O19" i="10"/>
  <c r="P19" i="10" s="1"/>
  <c r="P16" i="10"/>
  <c r="N16" i="10"/>
  <c r="L19" i="2"/>
  <c r="L18" i="2"/>
  <c r="S18" i="2" s="1"/>
  <c r="T18" i="2" s="1"/>
  <c r="L17" i="2"/>
  <c r="S17" i="2" s="1"/>
  <c r="T17" i="2" s="1"/>
  <c r="L16" i="2"/>
  <c r="S16" i="2" s="1"/>
  <c r="M18" i="3"/>
  <c r="L18" i="3"/>
  <c r="M17" i="3"/>
  <c r="L17" i="3"/>
  <c r="S17" i="3" s="1"/>
  <c r="T17" i="3" s="1"/>
  <c r="M16" i="3"/>
  <c r="L16" i="3"/>
  <c r="E7" i="13"/>
  <c r="C12" i="5" l="1"/>
  <c r="V16" i="5"/>
  <c r="C10" i="5" s="1"/>
  <c r="U16" i="3" a="1"/>
  <c r="U16" i="3" s="1"/>
  <c r="V16" i="3" s="1"/>
  <c r="W16" i="3" s="1"/>
  <c r="O16" i="3" s="1"/>
  <c r="Q16" i="3"/>
  <c r="R16" i="3" s="1"/>
  <c r="S16" i="3"/>
  <c r="T16" i="3" s="1"/>
  <c r="Q17" i="3"/>
  <c r="R17" i="3" s="1"/>
  <c r="U17" i="3" a="1"/>
  <c r="U17" i="3" s="1"/>
  <c r="V17" i="3" s="1"/>
  <c r="W17" i="3" s="1"/>
  <c r="O17" i="3" s="1"/>
  <c r="S18" i="3"/>
  <c r="T18" i="3" s="1"/>
  <c r="U18" i="3" a="1"/>
  <c r="U18" i="3" s="1"/>
  <c r="V18" i="3" s="1"/>
  <c r="W18" i="3" s="1"/>
  <c r="O18" i="3" s="1"/>
  <c r="Q18" i="3"/>
  <c r="R18" i="3" s="1"/>
  <c r="T16" i="2"/>
  <c r="S19" i="2"/>
  <c r="C13" i="7"/>
  <c r="H13" i="7" s="1"/>
  <c r="J13" i="7" s="1"/>
  <c r="T19" i="2" l="1"/>
  <c r="D13" i="7"/>
  <c r="I13" i="7" s="1"/>
  <c r="K13" i="7" s="1"/>
  <c r="C12" i="7" l="1"/>
  <c r="H12" i="7" s="1"/>
  <c r="J12" i="7" s="1"/>
  <c r="D12" i="7"/>
  <c r="I12" i="7" s="1"/>
  <c r="K12" i="7" s="1"/>
  <c r="D11" i="7"/>
  <c r="I11" i="7" s="1"/>
  <c r="K11" i="7" s="1"/>
  <c r="C11" i="7"/>
  <c r="H11" i="7" s="1"/>
  <c r="J11" i="7" s="1"/>
  <c r="N17" i="3" l="1"/>
  <c r="E4" i="13"/>
  <c r="F5" i="13" s="1"/>
  <c r="E6" i="13"/>
  <c r="F7" i="13" s="1"/>
  <c r="F8" i="13"/>
  <c r="E5" i="13"/>
  <c r="F6" i="13" s="1"/>
  <c r="C10" i="7"/>
  <c r="H10" i="7" s="1"/>
  <c r="J10" i="7" s="1"/>
  <c r="K34" i="8" l="1" a="1"/>
  <c r="K34" i="8" s="1"/>
  <c r="L21" i="8" a="1"/>
  <c r="L21" i="8" s="1"/>
  <c r="L35" i="8" a="1"/>
  <c r="L35" i="8" s="1"/>
  <c r="K18" i="8" a="1"/>
  <c r="K18" i="8" s="1"/>
  <c r="K21" i="8" a="1"/>
  <c r="K21" i="8" s="1"/>
  <c r="L33" i="8" a="1"/>
  <c r="L33" i="8" s="1"/>
  <c r="L34" i="8" a="1"/>
  <c r="L34" i="8" s="1"/>
  <c r="L32" i="8" a="1"/>
  <c r="L32" i="8" s="1"/>
  <c r="L36" i="8" a="1"/>
  <c r="L36" i="8" s="1"/>
  <c r="K41" i="8" a="1"/>
  <c r="K41" i="8" s="1"/>
  <c r="N17" i="2"/>
  <c r="D10" i="7"/>
  <c r="I10" i="7" s="1"/>
  <c r="K10" i="7" s="1"/>
  <c r="N16" i="3"/>
  <c r="N18" i="3"/>
  <c r="L12" i="8" l="1" a="1"/>
  <c r="L12" i="8" s="1"/>
  <c r="L18" i="8" a="1"/>
  <c r="L18" i="8" s="1"/>
  <c r="K12" i="8" a="1"/>
  <c r="K12" i="8" s="1"/>
  <c r="L28" i="8" a="1"/>
  <c r="L28" i="8" s="1"/>
  <c r="J41" i="8" a="1"/>
  <c r="J41" i="8" s="1"/>
  <c r="J63" i="8" a="1"/>
  <c r="J63" i="8" s="1"/>
  <c r="J69" i="8" a="1"/>
  <c r="J69" i="8" s="1"/>
  <c r="J68" i="8" a="1"/>
  <c r="J68" i="8" s="1"/>
  <c r="J67" i="8" a="1"/>
  <c r="J67" i="8" s="1"/>
  <c r="J66" i="8" a="1"/>
  <c r="J66" i="8" s="1"/>
  <c r="J65" i="8" a="1"/>
  <c r="J65" i="8" s="1"/>
  <c r="J64" i="8" a="1"/>
  <c r="J64" i="8" s="1"/>
  <c r="K28" i="8" a="1"/>
  <c r="K28" i="8" s="1"/>
  <c r="K32" i="8" a="1"/>
  <c r="K32" i="8" s="1"/>
  <c r="H69" i="8" a="1"/>
  <c r="H69" i="8" s="1"/>
  <c r="H68" i="8" a="1"/>
  <c r="H68" i="8" s="1"/>
  <c r="K68" i="8" a="1"/>
  <c r="K68" i="8" s="1"/>
  <c r="K67" i="8" a="1"/>
  <c r="K67" i="8" s="1"/>
  <c r="K66" i="8" a="1"/>
  <c r="K66" i="8" s="1"/>
  <c r="K63" i="8" a="1"/>
  <c r="K63" i="8" s="1"/>
  <c r="K69" i="8" a="1"/>
  <c r="K69" i="8" s="1"/>
  <c r="K65" i="8" a="1"/>
  <c r="K65" i="8" s="1"/>
  <c r="K64" i="8" a="1"/>
  <c r="K64" i="8" s="1"/>
  <c r="L67" i="8" a="1"/>
  <c r="L67" i="8" s="1"/>
  <c r="L66" i="8" a="1"/>
  <c r="L66" i="8" s="1"/>
  <c r="L65" i="8" a="1"/>
  <c r="L65" i="8" s="1"/>
  <c r="L69" i="8" a="1"/>
  <c r="L69" i="8" s="1"/>
  <c r="L64" i="8" a="1"/>
  <c r="L64" i="8" s="1"/>
  <c r="L63" i="8" a="1"/>
  <c r="L63" i="8" s="1"/>
  <c r="L68" i="8" a="1"/>
  <c r="L68" i="8" s="1"/>
  <c r="J18" i="8" a="1"/>
  <c r="J18" i="8" s="1"/>
  <c r="L41" i="8" a="1"/>
  <c r="L41" i="8" s="1"/>
  <c r="K33" i="8" a="1"/>
  <c r="K33" i="8" s="1"/>
  <c r="J28" i="8" a="1"/>
  <c r="J28" i="8" s="1"/>
  <c r="K35" i="8" a="1"/>
  <c r="K35" i="8" s="1"/>
  <c r="K36" i="8" a="1"/>
  <c r="K36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9" i="8" a="1"/>
  <c r="K59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62" i="8" a="1"/>
  <c r="K62" i="8" s="1"/>
  <c r="K61" i="8" a="1"/>
  <c r="K61" i="8" s="1"/>
  <c r="K60" i="8" a="1"/>
  <c r="K60" i="8" s="1"/>
  <c r="K58" i="8" a="1"/>
  <c r="K58" i="8" s="1"/>
  <c r="L40" i="8" a="1"/>
  <c r="L40" i="8" s="1"/>
  <c r="L39" i="8" a="1"/>
  <c r="L39" i="8" s="1"/>
  <c r="L38" i="8" a="1"/>
  <c r="L38" i="8" s="1"/>
  <c r="L37" i="8" a="1"/>
  <c r="L37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62" i="8" a="1"/>
  <c r="L62" i="8" s="1"/>
  <c r="L61" i="8" a="1"/>
  <c r="L61" i="8" s="1"/>
  <c r="L60" i="8" a="1"/>
  <c r="L60" i="8" s="1"/>
  <c r="L58" i="8" a="1"/>
  <c r="L5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62" i="8" a="1"/>
  <c r="J62" i="8" s="1"/>
  <c r="J61" i="8" a="1"/>
  <c r="J61" i="8" s="1"/>
  <c r="J60" i="8" a="1"/>
  <c r="J60" i="8" s="1"/>
  <c r="J58" i="8" a="1"/>
  <c r="J58" i="8" s="1"/>
  <c r="J59" i="8" a="1"/>
  <c r="J59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F35" i="8" a="1"/>
  <c r="F35" i="8" s="1"/>
  <c r="D9" i="7"/>
  <c r="I9" i="7" s="1"/>
  <c r="K9" i="7" s="1"/>
  <c r="C9" i="7"/>
  <c r="H9" i="7" s="1"/>
  <c r="J9" i="7" s="1"/>
  <c r="N18" i="2"/>
  <c r="N19" i="2"/>
  <c r="F37" i="8" l="1" a="1"/>
  <c r="F37" i="8" s="1"/>
  <c r="F33" i="8" a="1"/>
  <c r="F33" i="8" s="1"/>
  <c r="F34" i="8" a="1"/>
  <c r="F34" i="8" s="1"/>
  <c r="F36" i="8" a="1"/>
  <c r="F36" i="8" s="1"/>
  <c r="G49" i="8" a="1"/>
  <c r="G49" i="8" s="1"/>
  <c r="G46" i="8" a="1"/>
  <c r="G46" i="8" s="1"/>
  <c r="G51" i="8" a="1"/>
  <c r="G51" i="8" s="1"/>
  <c r="C8" i="7"/>
  <c r="H8" i="7" s="1"/>
  <c r="J8" i="7" s="1"/>
  <c r="D8" i="7"/>
  <c r="I8" i="7" s="1"/>
  <c r="K8" i="7" s="1"/>
  <c r="G45" i="8" a="1"/>
  <c r="G45" i="8" s="1"/>
  <c r="N16" i="2"/>
  <c r="G44" i="8" l="1" a="1"/>
  <c r="G44" i="8" s="1"/>
  <c r="G50" i="8" a="1"/>
  <c r="G50" i="8" s="1"/>
  <c r="G52" i="8" a="1"/>
  <c r="G52" i="8" s="1"/>
  <c r="G47" i="8" a="1"/>
  <c r="G47" i="8" s="1"/>
  <c r="F65" i="8" a="1"/>
  <c r="F65" i="8" s="1"/>
  <c r="F64" i="8" a="1"/>
  <c r="F64" i="8" s="1"/>
  <c r="F63" i="8" a="1"/>
  <c r="F63" i="8" s="1"/>
  <c r="F42" i="8" a="1"/>
  <c r="F42" i="8" s="1"/>
  <c r="F43" i="8" a="1"/>
  <c r="F43" i="8" s="1"/>
  <c r="F38" i="8" a="1"/>
  <c r="F38" i="8" s="1"/>
  <c r="F45" i="8" a="1"/>
  <c r="F45" i="8" s="1"/>
  <c r="F41" i="8" a="1"/>
  <c r="F41" i="8" s="1"/>
  <c r="F40" i="8" a="1"/>
  <c r="F40" i="8" s="1"/>
  <c r="F39" i="8" a="1"/>
  <c r="F39" i="8" s="1"/>
  <c r="F51" i="8" a="1"/>
  <c r="F51" i="8" s="1"/>
  <c r="F46" i="8" a="1"/>
  <c r="F46" i="8" s="1"/>
  <c r="F52" i="8" a="1"/>
  <c r="F52" i="8" s="1"/>
  <c r="F48" i="8" a="1"/>
  <c r="F48" i="8" s="1"/>
  <c r="F47" i="8" a="1"/>
  <c r="F47" i="8" s="1"/>
  <c r="F50" i="8" a="1"/>
  <c r="F50" i="8" s="1"/>
  <c r="F44" i="8" a="1"/>
  <c r="F44" i="8" s="1"/>
  <c r="F49" i="8" a="1"/>
  <c r="F49" i="8" s="1"/>
  <c r="F67" i="8" a="1"/>
  <c r="F67" i="8" s="1"/>
  <c r="F66" i="8" a="1"/>
  <c r="F66" i="8" s="1"/>
  <c r="F69" i="8" a="1"/>
  <c r="F69" i="8" s="1"/>
  <c r="F68" i="8" a="1"/>
  <c r="F68" i="8" s="1"/>
  <c r="G69" i="8" a="1"/>
  <c r="G69" i="8" s="1"/>
  <c r="G65" i="8" a="1"/>
  <c r="G65" i="8" s="1"/>
  <c r="G64" i="8" a="1"/>
  <c r="G64" i="8" s="1"/>
  <c r="G66" i="8" a="1"/>
  <c r="G66" i="8" s="1"/>
  <c r="G67" i="8" a="1"/>
  <c r="G67" i="8" s="1"/>
  <c r="G68" i="8" a="1"/>
  <c r="G68" i="8" s="1"/>
  <c r="G63" i="8" a="1"/>
  <c r="G63" i="8" s="1"/>
  <c r="G48" i="8" a="1"/>
  <c r="G48" i="8" s="1"/>
  <c r="C7" i="7"/>
  <c r="H7" i="7" s="1"/>
  <c r="J7" i="7" s="1"/>
  <c r="L15" i="7" l="1"/>
  <c r="D7" i="7"/>
  <c r="I7" i="7" l="1"/>
  <c r="K7" i="7" s="1"/>
  <c r="D2" i="7"/>
  <c r="H2" i="7" s="1" a="1"/>
  <c r="H2" i="7" s="1"/>
  <c r="I2" i="7" s="1"/>
  <c r="E2" i="7" s="1"/>
  <c r="H63" i="8" a="1"/>
  <c r="H63" i="8" s="1"/>
  <c r="H33" i="8" a="1"/>
  <c r="H33" i="8" s="1"/>
  <c r="H46" i="8" a="1"/>
  <c r="H46" i="8" s="1"/>
  <c r="H45" i="8" a="1"/>
  <c r="H45" i="8" s="1"/>
  <c r="H67" i="8" a="1"/>
  <c r="H67" i="8" s="1"/>
  <c r="H48" i="8" a="1"/>
  <c r="H48" i="8" s="1"/>
  <c r="H32" i="8" a="1"/>
  <c r="H32" i="8" s="1"/>
  <c r="H42" i="8" a="1"/>
  <c r="H42" i="8" s="1"/>
  <c r="H44" i="8" a="1"/>
  <c r="H44" i="8" s="1"/>
  <c r="H66" i="8" a="1"/>
  <c r="H66" i="8" s="1"/>
  <c r="H31" i="8" a="1"/>
  <c r="H31" i="8" s="1"/>
  <c r="H41" i="8" a="1"/>
  <c r="H41" i="8" s="1"/>
  <c r="H43" i="8" a="1"/>
  <c r="H43" i="8" s="1"/>
  <c r="H38" i="8" a="1"/>
  <c r="H38" i="8" s="1"/>
  <c r="H30" i="8" a="1"/>
  <c r="H30" i="8" s="1"/>
  <c r="H65" i="8" a="1"/>
  <c r="H65" i="8" s="1"/>
  <c r="H37" i="8" a="1"/>
  <c r="H37" i="8" s="1"/>
  <c r="H40" i="8" a="1"/>
  <c r="H40" i="8" s="1"/>
  <c r="H64" i="8" a="1"/>
  <c r="H64" i="8" s="1"/>
  <c r="H36" i="8" a="1"/>
  <c r="H36" i="8" s="1"/>
  <c r="H39" i="8" a="1"/>
  <c r="H39" i="8" s="1"/>
  <c r="H28" i="8" a="1"/>
  <c r="H28" i="8" s="1"/>
  <c r="H35" i="8" a="1"/>
  <c r="H35" i="8" s="1"/>
  <c r="H29" i="8" a="1"/>
  <c r="H29" i="8" s="1"/>
  <c r="H34" i="8" a="1"/>
  <c r="H34" i="8" s="1"/>
  <c r="H47" i="8" a="1"/>
  <c r="H47" i="8" s="1"/>
  <c r="F16" i="8" a="1"/>
  <c r="F16" i="8" s="1"/>
  <c r="F18" i="8" a="1"/>
  <c r="F18" i="8" s="1"/>
  <c r="F25" i="8" a="1"/>
  <c r="F25" i="8" s="1"/>
  <c r="F23" i="8" a="1"/>
  <c r="F23" i="8" s="1"/>
  <c r="F29" i="8" a="1"/>
  <c r="F29" i="8" s="1"/>
  <c r="F31" i="8" a="1"/>
  <c r="F31" i="8" s="1"/>
  <c r="F19" i="8" a="1"/>
  <c r="F19" i="8" s="1"/>
  <c r="F21" i="8" a="1"/>
  <c r="F21" i="8" s="1"/>
  <c r="F28" i="8" a="1"/>
  <c r="F28" i="8" s="1"/>
  <c r="F32" i="8" a="1"/>
  <c r="F32" i="8" s="1"/>
  <c r="F30" i="8" a="1"/>
  <c r="F30" i="8" s="1"/>
  <c r="F20" i="8" a="1"/>
  <c r="F20" i="8" s="1"/>
  <c r="F24" i="8" a="1"/>
  <c r="F24" i="8" s="1"/>
  <c r="F17" i="8" a="1"/>
  <c r="F17" i="8" s="1"/>
  <c r="F22" i="8" a="1"/>
  <c r="F22" i="8" s="1"/>
  <c r="F27" i="8" a="1"/>
  <c r="F27" i="8" s="1"/>
  <c r="F26" i="8" a="1"/>
  <c r="F26" i="8" s="1"/>
  <c r="F12" i="8" a="1"/>
  <c r="F12" i="8" s="1"/>
  <c r="F15" i="8" a="1"/>
  <c r="F15" i="8" s="1"/>
  <c r="F14" i="8" a="1"/>
  <c r="F14" i="8" s="1"/>
  <c r="F13" i="8" a="1"/>
  <c r="F13" i="8" s="1"/>
  <c r="I68" i="8" a="1"/>
  <c r="I68" i="8" s="1"/>
  <c r="I63" i="8" a="1"/>
  <c r="I63" i="8" s="1"/>
  <c r="I69" i="8" a="1"/>
  <c r="I69" i="8" s="1"/>
  <c r="I64" i="8" a="1"/>
  <c r="I64" i="8" s="1"/>
  <c r="I67" i="8" a="1"/>
  <c r="I67" i="8" s="1"/>
  <c r="I66" i="8" a="1"/>
  <c r="I66" i="8" s="1"/>
  <c r="I65" i="8" a="1"/>
  <c r="I65" i="8" s="1"/>
  <c r="H21" i="8" a="1"/>
  <c r="H21" i="8" s="1"/>
  <c r="H25" i="8" a="1"/>
  <c r="H25" i="8" s="1"/>
  <c r="H22" i="8" a="1"/>
  <c r="H22" i="8" s="1"/>
  <c r="H23" i="8" a="1"/>
  <c r="H23" i="8" s="1"/>
  <c r="H16" i="8" a="1"/>
  <c r="H16" i="8" s="1"/>
  <c r="H24" i="8" a="1"/>
  <c r="H24" i="8" s="1"/>
  <c r="H13" i="8" a="1"/>
  <c r="H13" i="8" s="1"/>
  <c r="H14" i="8" a="1"/>
  <c r="H14" i="8" s="1"/>
  <c r="H19" i="8" a="1"/>
  <c r="H19" i="8" s="1"/>
  <c r="H20" i="8" a="1"/>
  <c r="H20" i="8" s="1"/>
  <c r="H12" i="8" a="1"/>
  <c r="H12" i="8" s="1"/>
  <c r="H26" i="8" a="1"/>
  <c r="H26" i="8" s="1"/>
  <c r="H18" i="8" a="1"/>
  <c r="H18" i="8" s="1"/>
  <c r="H27" i="8" a="1"/>
  <c r="H27" i="8" s="1"/>
  <c r="H15" i="8" a="1"/>
  <c r="H15" i="8" s="1"/>
  <c r="H17" i="8" a="1"/>
  <c r="H17" i="8" s="1"/>
  <c r="H55" i="8" a="1"/>
  <c r="H55" i="8" s="1"/>
  <c r="H53" i="8" a="1"/>
  <c r="H53" i="8" s="1"/>
  <c r="H62" i="8" a="1"/>
  <c r="H62" i="8" s="1"/>
  <c r="H51" i="8" a="1"/>
  <c r="H51" i="8" s="1"/>
  <c r="H54" i="8" a="1"/>
  <c r="H54" i="8" s="1"/>
  <c r="H50" i="8" a="1"/>
  <c r="H50" i="8" s="1"/>
  <c r="H57" i="8" a="1"/>
  <c r="H57" i="8" s="1"/>
  <c r="H61" i="8" a="1"/>
  <c r="H61" i="8" s="1"/>
  <c r="H56" i="8" a="1"/>
  <c r="H56" i="8" s="1"/>
  <c r="H59" i="8" a="1"/>
  <c r="H59" i="8" s="1"/>
  <c r="H60" i="8" a="1"/>
  <c r="H60" i="8" s="1"/>
  <c r="H58" i="8" a="1"/>
  <c r="H58" i="8" s="1"/>
  <c r="H49" i="8" a="1"/>
  <c r="H49" i="8" s="1"/>
  <c r="H52" i="8" a="1"/>
  <c r="H52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61" i="8" a="1"/>
  <c r="G61" i="8" s="1"/>
  <c r="G60" i="8" a="1"/>
  <c r="G60" i="8" s="1"/>
  <c r="G62" i="8" a="1"/>
  <c r="G62" i="8" s="1"/>
  <c r="F58" i="8" a="1"/>
  <c r="F58" i="8" s="1"/>
  <c r="F53" i="8" a="1"/>
  <c r="F53" i="8" s="1"/>
  <c r="F57" i="8" a="1"/>
  <c r="F57" i="8" s="1"/>
  <c r="F62" i="8" a="1"/>
  <c r="F62" i="8" s="1"/>
  <c r="F59" i="8" a="1"/>
  <c r="F5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N15" i="7" l="1"/>
  <c r="D3" i="7" s="1"/>
  <c r="H3" i="7" s="1" a="1"/>
  <c r="H3" i="7" s="1"/>
  <c r="I3" i="7" s="1"/>
  <c r="E3" i="7" s="1"/>
  <c r="E69" i="8"/>
  <c r="D69" i="8"/>
  <c r="E68" i="8"/>
  <c r="D68" i="8"/>
  <c r="E26" i="8"/>
  <c r="D26" i="8"/>
  <c r="E32" i="8"/>
  <c r="D32" i="8"/>
  <c r="E10" i="8"/>
  <c r="D10" i="8"/>
  <c r="E60" i="8"/>
  <c r="D60" i="8"/>
  <c r="E62" i="8"/>
  <c r="D62" i="8"/>
  <c r="E12" i="8"/>
  <c r="D12" i="8"/>
  <c r="E22" i="8"/>
  <c r="D22" i="8"/>
  <c r="E28" i="8"/>
  <c r="D28" i="8"/>
  <c r="E38" i="8"/>
  <c r="D38" i="8"/>
  <c r="E48" i="8"/>
  <c r="D48" i="8"/>
  <c r="E18" i="8"/>
  <c r="D18" i="8"/>
  <c r="E42" i="8"/>
  <c r="D42" i="8"/>
  <c r="E35" i="8"/>
  <c r="D35" i="8"/>
  <c r="D9" i="8"/>
  <c r="E9" i="8"/>
  <c r="E59" i="8"/>
  <c r="D59" i="8"/>
  <c r="E53" i="8"/>
  <c r="D53" i="8"/>
  <c r="E20" i="8"/>
  <c r="D20" i="8"/>
  <c r="E25" i="8"/>
  <c r="D25" i="8"/>
  <c r="E39" i="8"/>
  <c r="D39" i="8"/>
  <c r="E43" i="8"/>
  <c r="D43" i="8"/>
  <c r="D67" i="8"/>
  <c r="E67" i="8"/>
  <c r="E49" i="8"/>
  <c r="D49" i="8"/>
  <c r="E65" i="8"/>
  <c r="D65" i="8"/>
  <c r="E23" i="8"/>
  <c r="D23" i="8"/>
  <c r="E30" i="8"/>
  <c r="D30" i="8"/>
  <c r="E11" i="8"/>
  <c r="D11" i="8"/>
  <c r="E56" i="8"/>
  <c r="D56" i="8"/>
  <c r="E55" i="8"/>
  <c r="D55" i="8"/>
  <c r="E19" i="8"/>
  <c r="D19" i="8"/>
  <c r="E21" i="8"/>
  <c r="D21" i="8"/>
  <c r="E36" i="8"/>
  <c r="D36" i="8"/>
  <c r="E41" i="8"/>
  <c r="D41" i="8"/>
  <c r="E45" i="8"/>
  <c r="D45" i="8"/>
  <c r="D3" i="8"/>
  <c r="E3" i="8"/>
  <c r="E16" i="8"/>
  <c r="D16" i="8"/>
  <c r="E4" i="8"/>
  <c r="D4" i="8"/>
  <c r="D51" i="8"/>
  <c r="E51" i="8"/>
  <c r="E8" i="8"/>
  <c r="D8" i="8"/>
  <c r="E61" i="8"/>
  <c r="D61" i="8"/>
  <c r="D17" i="8"/>
  <c r="E17" i="8"/>
  <c r="E14" i="8"/>
  <c r="D14" i="8"/>
  <c r="E64" i="8"/>
  <c r="D64" i="8"/>
  <c r="E31" i="8"/>
  <c r="D31" i="8"/>
  <c r="E46" i="8"/>
  <c r="D46" i="8"/>
  <c r="E29" i="8"/>
  <c r="D29" i="8"/>
  <c r="E58" i="8"/>
  <c r="D58" i="8"/>
  <c r="E6" i="8"/>
  <c r="D6" i="8"/>
  <c r="E57" i="8"/>
  <c r="D57" i="8"/>
  <c r="D15" i="8"/>
  <c r="E15" i="8"/>
  <c r="E13" i="8"/>
  <c r="D13" i="8"/>
  <c r="E47" i="8"/>
  <c r="D47" i="8"/>
  <c r="E40" i="8"/>
  <c r="D40" i="8"/>
  <c r="E66" i="8"/>
  <c r="D66" i="8"/>
  <c r="E33" i="8"/>
  <c r="D33" i="8"/>
  <c r="E54" i="8"/>
  <c r="D54" i="8"/>
  <c r="D5" i="8"/>
  <c r="E5" i="8"/>
  <c r="E7" i="8"/>
  <c r="D7" i="8"/>
  <c r="E52" i="8"/>
  <c r="D52" i="8"/>
  <c r="E50" i="8"/>
  <c r="D50" i="8"/>
  <c r="E27" i="8"/>
  <c r="D27" i="8"/>
  <c r="E24" i="8"/>
  <c r="D24" i="8"/>
  <c r="E34" i="8"/>
  <c r="D34" i="8"/>
  <c r="E37" i="8"/>
  <c r="D37" i="8"/>
  <c r="E44" i="8"/>
  <c r="D44" i="8"/>
  <c r="E63" i="8"/>
  <c r="D63" i="8"/>
</calcChain>
</file>

<file path=xl/sharedStrings.xml><?xml version="1.0" encoding="utf-8"?>
<sst xmlns="http://schemas.openxmlformats.org/spreadsheetml/2006/main" count="1077" uniqueCount="188">
  <si>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</si>
  <si>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</si>
  <si>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</si>
  <si>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</si>
  <si>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</si>
  <si>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</si>
  <si>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</si>
  <si>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</si>
  <si>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</si>
  <si>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</si>
  <si>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</si>
  <si>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</si>
  <si>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</si>
  <si>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</si>
  <si>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</si>
  <si>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</si>
  <si>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</si>
  <si>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</si>
  <si>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</si>
  <si>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</si>
  <si>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</si>
  <si>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</si>
  <si>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</si>
  <si>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</si>
  <si>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</si>
  <si>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</si>
  <si>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</si>
  <si>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</si>
  <si>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</si>
  <si>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</si>
  <si>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</si>
  <si>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</si>
  <si>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</si>
  <si>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</si>
  <si>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</si>
  <si>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</si>
  <si>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</si>
  <si>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</si>
  <si>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</si>
  <si>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</si>
  <si>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</si>
  <si>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</si>
  <si>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</si>
  <si>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</si>
  <si>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</si>
  <si>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</si>
  <si>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</si>
  <si>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</si>
  <si>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</si>
  <si>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</si>
  <si>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</si>
  <si>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</si>
  <si>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</si>
  <si>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</si>
  <si>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</si>
  <si>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</si>
  <si>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</si>
  <si>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</si>
  <si>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</si>
  <si>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</si>
  <si>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</si>
  <si>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</si>
  <si>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</si>
  <si>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</si>
  <si>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</si>
  <si>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</si>
  <si>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</si>
  <si>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</si>
  <si>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</si>
  <si>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</si>
  <si>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</si>
  <si>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</si>
  <si>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</si>
  <si>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</si>
  <si>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</si>
  <si>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</si>
  <si>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</si>
  <si>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</si>
  <si>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</si>
  <si>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</si>
  <si>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</si>
  <si>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</si>
  <si>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</si>
  <si>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</si>
  <si>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</si>
  <si>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</si>
  <si>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</si>
  <si>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</si>
  <si>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</si>
  <si>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</si>
  <si>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</si>
  <si>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</si>
  <si>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</si>
  <si>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</si>
  <si>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STPH vak a</t>
  </si>
  <si>
    <t>STPH vak b</t>
  </si>
  <si>
    <t>STPH vak c</t>
  </si>
  <si>
    <t>STPH vak d</t>
  </si>
  <si>
    <t>STPH vak e</t>
  </si>
  <si>
    <t>STPH vak f</t>
  </si>
  <si>
    <t>STPH vak g</t>
  </si>
  <si>
    <t>STPH vak h</t>
  </si>
  <si>
    <t>STPH vak i</t>
  </si>
  <si>
    <t>STPH vak j</t>
  </si>
  <si>
    <t>STPH vak k</t>
  </si>
  <si>
    <t>STPH vak l</t>
  </si>
  <si>
    <t>STPH vak m</t>
  </si>
  <si>
    <t>STPH vak n</t>
  </si>
  <si>
    <t>STPH vak o</t>
  </si>
  <si>
    <t>STPH vak p</t>
  </si>
  <si>
    <t>STBI vak a</t>
  </si>
  <si>
    <t>STBI vak b</t>
  </si>
  <si>
    <t>STBI vak c</t>
  </si>
  <si>
    <t>STBI vak d</t>
  </si>
  <si>
    <t>STBI vak e</t>
  </si>
  <si>
    <t>STBI vak f</t>
  </si>
  <si>
    <t>STBI vak g</t>
  </si>
  <si>
    <t>STBI vak h</t>
  </si>
  <si>
    <t>STBI vak i</t>
  </si>
  <si>
    <t>STBI vak j</t>
  </si>
  <si>
    <t>STBI vak k</t>
  </si>
  <si>
    <t>STBI vak l</t>
  </si>
  <si>
    <t>STBI vak m</t>
  </si>
  <si>
    <t>STBI vak n</t>
  </si>
  <si>
    <t>STBI vak o</t>
  </si>
  <si>
    <t>STBI vak p</t>
  </si>
  <si>
    <t>STBI vak q</t>
  </si>
  <si>
    <t>STBI vak r</t>
  </si>
  <si>
    <t>STBI vak s</t>
  </si>
  <si>
    <t>GEKB vak a</t>
  </si>
  <si>
    <t>GEKB vak b</t>
  </si>
  <si>
    <t>GEKB vak c</t>
  </si>
  <si>
    <t>GEKB vak d</t>
  </si>
  <si>
    <t>GEKB vak e</t>
  </si>
  <si>
    <t>GEKB vak f</t>
  </si>
  <si>
    <t>GEKB vak g</t>
  </si>
  <si>
    <t>GEKB vak h</t>
  </si>
  <si>
    <t>GEKB vak i</t>
  </si>
  <si>
    <t>GEKB vak j</t>
  </si>
  <si>
    <t>GEKB vak k</t>
  </si>
  <si>
    <t>GEKB vak l</t>
  </si>
  <si>
    <t>GEKB vak m</t>
  </si>
  <si>
    <t>GEKB vak n</t>
  </si>
  <si>
    <t>GEKB vak o</t>
  </si>
  <si>
    <t>GEKB vak p</t>
  </si>
  <si>
    <t>GEKB vak q</t>
  </si>
  <si>
    <t>STKWp kw a</t>
  </si>
  <si>
    <t>STKWp kw b</t>
  </si>
  <si>
    <t>STKWp kw c</t>
  </si>
  <si>
    <t>STKWp kw d</t>
  </si>
  <si>
    <t>STKWp kw e</t>
  </si>
  <si>
    <t>STKWp kw f</t>
  </si>
  <si>
    <t>STKWp kw g</t>
  </si>
  <si>
    <t>STKWp kw h</t>
  </si>
  <si>
    <t>STKWp kw i</t>
  </si>
  <si>
    <t>STKWp kw j</t>
  </si>
  <si>
    <t>STKWp kw k</t>
  </si>
  <si>
    <t>STKWp kw l</t>
  </si>
  <si>
    <t>STKWp kw m</t>
  </si>
  <si>
    <t>STKWp kw n</t>
  </si>
  <si>
    <t>STKWp kw o</t>
  </si>
  <si>
    <t>STKWp kw p</t>
  </si>
  <si>
    <t>STKWp kw q</t>
  </si>
  <si>
    <t>STKWp kw r</t>
  </si>
  <si>
    <t>STKWp kw s</t>
  </si>
  <si>
    <t>STKWp kw t</t>
  </si>
  <si>
    <t>STKWp kw u</t>
  </si>
  <si>
    <t>STKWp kw v</t>
  </si>
  <si>
    <t>STKWp kw w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</si>
  <si>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</si>
  <si>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</si>
  <si>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</si>
  <si>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</si>
  <si>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</si>
  <si>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</si>
  <si>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</si>
  <si>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</si>
  <si>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</si>
  <si>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</si>
  <si>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Pf corr</t>
  </si>
  <si>
    <t>Pf tussen corr</t>
  </si>
  <si>
    <t>max</t>
  </si>
  <si>
    <t>Pf</t>
  </si>
  <si>
    <t>Pf tussentijds</t>
  </si>
  <si>
    <t>1-Pf uncorr</t>
  </si>
  <si>
    <t>1-Pf tussen uncorr</t>
  </si>
  <si>
    <t>Gecorreleerd</t>
  </si>
  <si>
    <t>Erosie van het binnentalud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</si>
</sst>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0" fillId="0" borderId="0" xfId="0" applyFill="1" applyBorder="1"/>
    <xf numFmtId="164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110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70</v>
      </c>
      <c r="C2" s="52" t="s">
        <v>73</v>
      </c>
      <c r="D2" s="52" t="s">
        <v>71</v>
      </c>
      <c r="E2" s="52" t="s">
        <v>81</v>
      </c>
      <c r="F2" s="53" t="s">
        <v>72</v>
      </c>
    </row>
    <row r="3" spans="2:6" x14ac:dyDescent="0.25">
      <c r="B3" s="8" t="s">
        <v>38</v>
      </c>
      <c r="C3" s="9" t="s">
        <v>56</v>
      </c>
      <c r="D3" s="9" t="s">
        <v>9</v>
      </c>
      <c r="E3" s="9" t="s">
        <v>9</v>
      </c>
      <c r="F3" s="12" t="s">
        <v>9</v>
      </c>
    </row>
    <row r="4" spans="2:6" x14ac:dyDescent="0.25">
      <c r="B4" s="8" t="s">
        <v>54</v>
      </c>
      <c r="C4" s="9" t="s">
        <v>57</v>
      </c>
      <c r="D4" s="9" t="s">
        <v>9</v>
      </c>
      <c r="E4" s="9" t="s">
        <v>9</v>
      </c>
      <c r="F4" s="12" t="s">
        <v>9</v>
      </c>
    </row>
    <row r="5" spans="2:6" x14ac:dyDescent="0.25">
      <c r="B5" s="8" t="s">
        <v>74</v>
      </c>
      <c r="C5" s="9" t="s">
        <v>90</v>
      </c>
      <c r="D5" s="9" t="s">
        <v>10</v>
      </c>
      <c r="E5" s="9" t="s">
        <v>9</v>
      </c>
      <c r="F5" s="12" t="s">
        <v>83</v>
      </c>
    </row>
    <row r="6" spans="2:6" x14ac:dyDescent="0.25">
      <c r="B6" s="8" t="s">
        <v>79</v>
      </c>
      <c r="C6" s="9" t="s">
        <v>84</v>
      </c>
      <c r="D6" s="9" t="s">
        <v>9</v>
      </c>
      <c r="E6" s="9" t="s">
        <v>82</v>
      </c>
      <c r="F6" s="12" t="s">
        <v>10</v>
      </c>
    </row>
    <row r="7" spans="2:6" x14ac:dyDescent="0.25">
      <c r="B7" s="8" t="s">
        <v>75</v>
      </c>
      <c r="C7" s="9" t="s">
        <v>61</v>
      </c>
      <c r="D7" s="9" t="s">
        <v>9</v>
      </c>
      <c r="E7" s="9" t="s">
        <v>82</v>
      </c>
      <c r="F7" s="12" t="s">
        <v>10</v>
      </c>
    </row>
    <row r="8" spans="2:6" x14ac:dyDescent="0.25">
      <c r="B8" s="8" t="s">
        <v>76</v>
      </c>
      <c r="C8" s="9" t="s">
        <v>85</v>
      </c>
      <c r="D8" s="9" t="s">
        <v>10</v>
      </c>
      <c r="E8" s="9" t="s">
        <v>9</v>
      </c>
      <c r="F8" s="12" t="s">
        <v>10</v>
      </c>
    </row>
    <row r="9" spans="2:6" x14ac:dyDescent="0.25">
      <c r="B9" s="8" t="s">
        <v>77</v>
      </c>
      <c r="C9" s="9" t="s">
        <v>60</v>
      </c>
      <c r="D9" s="9" t="s">
        <v>9</v>
      </c>
      <c r="E9" s="9" t="s">
        <v>82</v>
      </c>
      <c r="F9" s="12" t="s">
        <v>10</v>
      </c>
    </row>
    <row r="10" spans="2:6" x14ac:dyDescent="0.25">
      <c r="B10" s="8" t="s">
        <v>78</v>
      </c>
      <c r="C10" s="9" t="s">
        <v>80</v>
      </c>
      <c r="D10" s="9" t="s">
        <v>10</v>
      </c>
      <c r="E10" s="9" t="s">
        <v>82</v>
      </c>
      <c r="F10" s="12" t="s">
        <v>10</v>
      </c>
    </row>
    <row r="11" spans="2:6" x14ac:dyDescent="0.25">
      <c r="B11" s="8" t="s">
        <v>55</v>
      </c>
      <c r="C11" s="9" t="s">
        <v>59</v>
      </c>
      <c r="D11" s="9" t="s">
        <v>10</v>
      </c>
      <c r="E11" s="9" t="s">
        <v>9</v>
      </c>
      <c r="F11" s="12" t="s">
        <v>10</v>
      </c>
    </row>
    <row r="12" spans="2:6" ht="15.75" thickBot="1" x14ac:dyDescent="0.3">
      <c r="B12" s="13" t="s">
        <v>86</v>
      </c>
      <c r="C12" s="14" t="s">
        <v>87</v>
      </c>
      <c r="D12" s="14" t="s">
        <v>10</v>
      </c>
      <c r="E12" s="14" t="s">
        <v>10</v>
      </c>
      <c r="F12" s="17" t="s">
        <v>83</v>
      </c>
    </row>
    <row r="14" spans="2:6" ht="15.75" thickBot="1" x14ac:dyDescent="0.3">
      <c r="B14" s="2" t="s">
        <v>39</v>
      </c>
    </row>
    <row r="15" spans="2:6" x14ac:dyDescent="0.25">
      <c r="B15" s="22" t="s">
        <v>13</v>
      </c>
    </row>
    <row r="16" spans="2:6" x14ac:dyDescent="0.25">
      <c r="B16" s="23" t="s">
        <v>15</v>
      </c>
    </row>
    <row r="17" spans="2:2" ht="15.75" thickBot="1" x14ac:dyDescent="0.3">
      <c r="B17" s="24" t="s">
        <v>14</v>
      </c>
    </row>
    <row r="19" spans="2:2" ht="15.75" thickBot="1" x14ac:dyDescent="0.3">
      <c r="B19" s="2" t="s">
        <v>40</v>
      </c>
    </row>
    <row r="20" spans="2:2" x14ac:dyDescent="0.25">
      <c r="B20" s="22" t="s">
        <v>13</v>
      </c>
    </row>
    <row r="21" spans="2:2" ht="15.75" thickBot="1" x14ac:dyDescent="0.3">
      <c r="B21" s="24" t="s">
        <v>14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41</v>
      </c>
      <c r="B2" s="28" t="s">
        <v>93</v>
      </c>
      <c r="D2" s="2" t="s">
        <v>29</v>
      </c>
    </row>
    <row r="3" spans="1:6" ht="15.75" thickBot="1" x14ac:dyDescent="0.3">
      <c r="A3" t="s">
        <v>20</v>
      </c>
      <c r="B3" s="1">
        <f>1/3000</f>
        <v>3.3333333333333332E-4</v>
      </c>
      <c r="D3" s="51" t="s">
        <v>27</v>
      </c>
      <c r="E3" s="52" t="s">
        <v>21</v>
      </c>
      <c r="F3" s="53" t="s">
        <v>28</v>
      </c>
    </row>
    <row r="4" spans="1:6" x14ac:dyDescent="0.25">
      <c r="A4" t="s">
        <v>21</v>
      </c>
      <c r="B4" s="1">
        <f>1/1000</f>
        <v>1E-3</v>
      </c>
      <c r="D4" s="62" t="s">
        <v>22</v>
      </c>
      <c r="E4" s="5">
        <f>1/30*B3</f>
        <v>1.111111111111111E-5</v>
      </c>
      <c r="F4" s="25">
        <v>0</v>
      </c>
    </row>
    <row r="5" spans="1:6" x14ac:dyDescent="0.25">
      <c r="A5" t="s">
        <v>169</v>
      </c>
      <c r="B5" s="9">
        <v>17.5</v>
      </c>
      <c r="D5" s="63" t="s">
        <v>23</v>
      </c>
      <c r="E5" s="10">
        <f>B3</f>
        <v>3.3333333333333332E-4</v>
      </c>
      <c r="F5" s="26">
        <f>E4</f>
        <v>1.111111111111111E-5</v>
      </c>
    </row>
    <row r="6" spans="1:6" x14ac:dyDescent="0.25">
      <c r="D6" s="64" t="s">
        <v>24</v>
      </c>
      <c r="E6" s="10">
        <f>B4</f>
        <v>1E-3</v>
      </c>
      <c r="F6" s="26">
        <f>E5</f>
        <v>3.3333333333333332E-4</v>
      </c>
    </row>
    <row r="7" spans="1:6" x14ac:dyDescent="0.25">
      <c r="D7" s="65" t="s">
        <v>25</v>
      </c>
      <c r="E7" s="10">
        <f>MIN(1,30*B4)</f>
        <v>0.03</v>
      </c>
      <c r="F7" s="26">
        <f>E6</f>
        <v>1E-3</v>
      </c>
    </row>
    <row r="8" spans="1:6" ht="15.75" thickBot="1" x14ac:dyDescent="0.3">
      <c r="D8" s="66" t="s">
        <v>26</v>
      </c>
      <c r="E8" s="15">
        <v>1</v>
      </c>
      <c r="F8" s="27">
        <f>E7</f>
        <v>0.03</v>
      </c>
    </row>
    <row r="11" spans="1:6" ht="15.75" thickBot="1" x14ac:dyDescent="0.3">
      <c r="D11" s="2" t="s">
        <v>89</v>
      </c>
    </row>
    <row r="12" spans="1:6" ht="15.75" thickBot="1" x14ac:dyDescent="0.3">
      <c r="D12" s="51" t="s">
        <v>88</v>
      </c>
      <c r="E12" s="53" t="s">
        <v>28</v>
      </c>
    </row>
    <row r="13" spans="1:6" x14ac:dyDescent="0.25">
      <c r="D13" s="54" t="s">
        <v>42</v>
      </c>
      <c r="E13" s="26">
        <f>1/1000*B3</f>
        <v>3.3333333333333335E-7</v>
      </c>
    </row>
    <row r="14" spans="1:6" x14ac:dyDescent="0.25">
      <c r="D14" s="55" t="s">
        <v>43</v>
      </c>
      <c r="E14" s="26">
        <f>1/100*B3</f>
        <v>3.3333333333333333E-6</v>
      </c>
    </row>
    <row r="15" spans="1:6" x14ac:dyDescent="0.25">
      <c r="D15" s="56" t="s">
        <v>44</v>
      </c>
      <c r="E15" s="26">
        <f>1/10*B3</f>
        <v>3.3333333333333335E-5</v>
      </c>
    </row>
    <row r="16" spans="1:6" x14ac:dyDescent="0.25">
      <c r="D16" s="57" t="s">
        <v>45</v>
      </c>
      <c r="E16" s="26">
        <f>B3</f>
        <v>3.3333333333333332E-4</v>
      </c>
    </row>
    <row r="17" spans="2:5" x14ac:dyDescent="0.25">
      <c r="D17" s="58" t="s">
        <v>46</v>
      </c>
      <c r="E17" s="26">
        <f>B4</f>
        <v>1E-3</v>
      </c>
    </row>
    <row r="18" spans="2:5" x14ac:dyDescent="0.25">
      <c r="D18" s="59" t="s">
        <v>47</v>
      </c>
      <c r="E18" s="26">
        <f>10*B4</f>
        <v>0.01</v>
      </c>
    </row>
    <row r="19" spans="2:5" x14ac:dyDescent="0.25">
      <c r="D19" s="60" t="s">
        <v>48</v>
      </c>
      <c r="E19" s="12">
        <v>1</v>
      </c>
    </row>
    <row r="20" spans="2:5" x14ac:dyDescent="0.25">
      <c r="D20" s="56" t="s">
        <v>26</v>
      </c>
      <c r="E20" s="12"/>
    </row>
    <row r="21" spans="2:5" ht="15.75" thickBot="1" x14ac:dyDescent="0.3">
      <c r="D21" s="61" t="s">
        <v>49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3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17" max="17" width="16.42578125" bestFit="1" customWidth="1"/>
    <col min="20" max="20" width="16.42578125" bestFit="1" customWidth="1"/>
    <col min="21" max="21" width="12" bestFit="1" customWidth="1"/>
  </cols>
  <sheetData>
    <row r="2" spans="2:26" ht="15.75" thickBot="1" x14ac:dyDescent="0.3">
      <c r="B2" s="2" t="s">
        <v>37</v>
      </c>
      <c r="C2" s="2" t="s">
        <v>38</v>
      </c>
    </row>
    <row r="3" spans="2:26" x14ac:dyDescent="0.25">
      <c r="B3" s="35" t="s">
        <v>33</v>
      </c>
      <c r="C3" s="7">
        <v>28.9</v>
      </c>
    </row>
    <row r="4" spans="2:26" x14ac:dyDescent="0.25">
      <c r="B4" s="39" t="s">
        <v>170</v>
      </c>
      <c r="C4" s="12" t="s">
        <v>9</v>
      </c>
    </row>
    <row r="5" spans="2:26" x14ac:dyDescent="0.25">
      <c r="B5" s="39" t="s">
        <v>172</v>
      </c>
      <c r="C5" s="12" t="s">
        <v>173</v>
      </c>
    </row>
    <row r="6" spans="2:26" x14ac:dyDescent="0.25">
      <c r="B6" s="39" t="s">
        <v>186</v>
      </c>
      <c r="C6" s="12" t="s">
        <v>10</v>
      </c>
    </row>
    <row r="7" spans="2:26" x14ac:dyDescent="0.25">
      <c r="B7" s="39" t="s">
        <v>36</v>
      </c>
      <c r="C7" s="26">
        <f>IFERROR(IF(C5="P1",1-PRODUCT(Q16:Q31),MAX(S16:S31)),"GR")</f>
        <v>2.3947398894430538E-4</v>
      </c>
      <c r="E7" s="1"/>
    </row>
    <row r="8" spans="2:26" x14ac:dyDescent="0.25">
      <c r="B8" s="39" t="s">
        <v>30</v>
      </c>
      <c r="C8" s="26">
        <f>IF(C5="P1",1-PRODUCT(R16:R31),MAX(T16:T31))</f>
        <v>2.3947398894430538E-4</v>
      </c>
      <c r="M8" s="1"/>
      <c r="Q8" s="69"/>
      <c r="R8" s="69"/>
      <c r="S8" s="69"/>
      <c r="T8" s="69"/>
    </row>
    <row r="9" spans="2:26" x14ac:dyDescent="0.25">
      <c r="B9" s="39" t="s">
        <v>21</v>
      </c>
      <c r="C9" s="26">
        <f>IFERROR(MAX(Y16:Y31),"GR")</f>
        <v>1.7808167999999736E-4</v>
      </c>
      <c r="Q9" s="1"/>
    </row>
    <row r="10" spans="2:26" x14ac:dyDescent="0.25">
      <c r="B10" s="39" t="s">
        <v>174</v>
      </c>
      <c r="C10" s="26">
        <f>MAX(Z16:Z31)</f>
        <v>1.7808167999999736E-4</v>
      </c>
      <c r="Q10" s="1"/>
    </row>
    <row r="11" spans="2:26" x14ac:dyDescent="0.25">
      <c r="B11" s="39" t="s">
        <v>28</v>
      </c>
      <c r="C11" s="26">
        <f>IFERROR(1-PRODUCT(Q16:Q31),"GR")</f>
        <v>2.3947398894430538E-4</v>
      </c>
      <c r="Q11" s="1"/>
    </row>
    <row r="12" spans="2:26" ht="15.75" thickBot="1" x14ac:dyDescent="0.3">
      <c r="B12" s="40" t="s">
        <v>175</v>
      </c>
      <c r="C12" s="27">
        <f>1-PRODUCT(R16:R31)</f>
        <v>2.3947398894430538E-4</v>
      </c>
      <c r="Q12" s="1"/>
    </row>
    <row r="14" spans="2:26" ht="15.75" thickBot="1" x14ac:dyDescent="0.3">
      <c r="Q14" t="s">
        <v>53</v>
      </c>
    </row>
    <row r="15" spans="2:26" ht="60.75" thickBot="1" x14ac:dyDescent="0.3">
      <c r="B15" s="70" t="s">
        <v>0</v>
      </c>
      <c r="C15" s="71" t="s">
        <v>1</v>
      </c>
      <c r="D15" s="71" t="s">
        <v>67</v>
      </c>
      <c r="E15" s="72" t="s">
        <v>3</v>
      </c>
      <c r="F15" s="70" t="s">
        <v>12</v>
      </c>
      <c r="G15" s="71" t="s">
        <v>4</v>
      </c>
      <c r="H15" s="73" t="s">
        <v>5</v>
      </c>
      <c r="I15" s="70" t="s">
        <v>11</v>
      </c>
      <c r="J15" s="71" t="s">
        <v>6</v>
      </c>
      <c r="K15" s="73" t="s">
        <v>7</v>
      </c>
      <c r="L15" s="70" t="s">
        <v>16</v>
      </c>
      <c r="M15" s="71" t="s">
        <v>17</v>
      </c>
      <c r="N15" s="71" t="s">
        <v>18</v>
      </c>
      <c r="O15" s="73" t="s">
        <v>19</v>
      </c>
      <c r="P15" s="74"/>
      <c r="Q15" s="35" t="s">
        <v>31</v>
      </c>
      <c r="R15" s="36" t="s">
        <v>32</v>
      </c>
      <c r="S15" s="36" t="s">
        <v>34</v>
      </c>
      <c r="T15" s="36" t="s">
        <v>35</v>
      </c>
      <c r="U15" s="37" t="s">
        <v>50</v>
      </c>
      <c r="V15" s="37" t="s">
        <v>51</v>
      </c>
      <c r="W15" s="4"/>
      <c r="X15" s="37" t="s">
        <v>52</v>
      </c>
      <c r="Y15" s="37" t="s">
        <v>176</v>
      </c>
      <c r="Z15" s="38" t="s">
        <v>177</v>
      </c>
    </row>
    <row r="16" spans="2:26" x14ac:dyDescent="0.25">
      <c r="B16" s="3" t="s">
        <v>94</v>
      </c>
      <c r="C16" s="4">
        <v>0</v>
      </c>
      <c r="D16" s="4">
        <v>1</v>
      </c>
      <c r="E16" s="22" t="s">
        <v>9</v>
      </c>
      <c r="F16" s="3" t="s">
        <v>13</v>
      </c>
      <c r="G16" s="5">
        <v>8.4661900000000003E-5</v>
      </c>
      <c r="H16" s="25">
        <v>8.4661900000000003E-5</v>
      </c>
      <c r="I16" s="3" t="s">
        <v>9</v>
      </c>
      <c r="J16" s="5">
        <v>2.5000000000000002E-6</v>
      </c>
      <c r="K16" s="25">
        <v>5.8333333333333331E-6</v>
      </c>
      <c r="L16" s="29">
        <f t="shared" ref="L16:L31" si="0">IF($E16="Nee",0,IF(I16="Ja",IF(ISNUMBER(J16),J16,"-"),IF(ISNUMBER(G16),G16,"-")))</f>
        <v>2.5000000000000002E-6</v>
      </c>
      <c r="M16" s="5">
        <f>IF($E16="Nee",0,IF(I16="Ja",IF(ISNUMBER(K16),K16,"-"),IF(ISNUMBER(H16),H16,"-")))</f>
        <v>5.8333333333333331E-6</v>
      </c>
      <c r="N16" s="6">
        <f t="shared" ref="N16:N31" si="1">IF(ISNUMBER(L16),IF(M16=0,1,M16/L16),"-")</f>
        <v>2.333333333333333</v>
      </c>
      <c r="O16" s="30" t="str">
        <f t="shared" ref="O16:O31" si="2">IF(E16="Nee","NR",IF(ISNUMBER($M16),W16,IF($X16,"D","ND")))</f>
        <v>+I</v>
      </c>
      <c r="P16" s="9"/>
      <c r="Q16" s="31">
        <f>IF(AND(F16="Geen faalkans",I16="Nee"),1,1-M16)</f>
        <v>0.99999416666666663</v>
      </c>
      <c r="R16" s="10">
        <f t="shared" ref="R16" si="3">IF(M16="-",1,Q16)</f>
        <v>0.99999416666666663</v>
      </c>
      <c r="S16" s="10">
        <f t="shared" ref="S16" si="4">IF(AND(F16="Geen faalkans",I16="Nee"),0,L16*$C$3)</f>
        <v>7.2250000000000008E-5</v>
      </c>
      <c r="T16" s="10">
        <f t="shared" ref="T16" si="5">IF(L16="-",0,S16)</f>
        <v>7.2250000000000008E-5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9" t="b">
        <f t="shared" ref="X16:X31" si="6">IF($E16="Ja",IF($I16="Ja",NOT(ISNUMBER($J16)),FALSE),FALSE)</f>
        <v>0</v>
      </c>
      <c r="Y16" s="10">
        <f>1-Q16</f>
        <v>5.8333333333715487E-6</v>
      </c>
      <c r="Z16" s="26">
        <f>1-R16</f>
        <v>5.8333333333715487E-6</v>
      </c>
    </row>
    <row r="17" spans="2:26" x14ac:dyDescent="0.25">
      <c r="B17" s="8" t="s">
        <v>95</v>
      </c>
      <c r="C17" s="9">
        <v>1</v>
      </c>
      <c r="D17" s="9">
        <v>1.7000000000000011</v>
      </c>
      <c r="E17" s="23" t="s">
        <v>9</v>
      </c>
      <c r="F17" s="8" t="s">
        <v>13</v>
      </c>
      <c r="G17" s="10">
        <v>3.4710599999999999E-5</v>
      </c>
      <c r="H17" s="26">
        <v>3.4710599999999999E-5</v>
      </c>
      <c r="I17" s="8" t="s">
        <v>9</v>
      </c>
      <c r="J17" s="10">
        <v>2.5000000000000002E-6</v>
      </c>
      <c r="K17" s="26">
        <v>4.8333333333333376E-6</v>
      </c>
      <c r="L17" s="31">
        <f t="shared" si="0"/>
        <v>2.5000000000000002E-6</v>
      </c>
      <c r="M17" s="10">
        <f t="shared" ref="M17:M31" si="7">IF($E17="Nee",0,IF(I17="Ja",IF(ISNUMBER(K17),K17,"-"),IF(ISNUMBER(H17),H17,"-")))</f>
        <v>4.8333333333333376E-6</v>
      </c>
      <c r="N17" s="11">
        <f t="shared" si="1"/>
        <v>1.9333333333333349</v>
      </c>
      <c r="O17" s="32" t="str">
        <f t="shared" si="2"/>
        <v>+I</v>
      </c>
      <c r="P17" s="9"/>
      <c r="Q17" s="31">
        <f t="shared" ref="Q17:Q31" si="8">IF(AND(F17="Geen faalkans",I17="Nee"),1,1-M17)</f>
        <v>0.99999516666666666</v>
      </c>
      <c r="R17" s="10">
        <f t="shared" ref="R17:R31" si="9">IF(M17="-",1,Q17)</f>
        <v>0.99999516666666666</v>
      </c>
      <c r="S17" s="10">
        <f t="shared" ref="S17:S31" si="10">IF(AND(F17="Geen faalkans",I17="Nee"),0,L17*$C$3)</f>
        <v>7.2250000000000008E-5</v>
      </c>
      <c r="T17" s="10">
        <f t="shared" ref="T17:T31" si="11">IF(L17="-",0,S17)</f>
        <v>7.2250000000000008E-5</v>
      </c>
      <c r="U17" s="9">
        <f t="array" ref="U17">MIN(IF('Normen en duidingsklassen'!$E$13:$E$20&gt;=$M17,'Normen en duidingsklassen'!$E$13:$E$20))</f>
        <v>3.3333333333333335E-5</v>
      </c>
      <c r="V17" s="9">
        <f>IFERROR(MATCH($U17,'Normen en duidingsklassen'!$E$13:$E$20,0),1)</f>
        <v>3</v>
      </c>
      <c r="W17" s="9" t="str">
        <f>INDEX('Normen en duidingsklassen'!$D$13:$D$20,V17)</f>
        <v>+I</v>
      </c>
      <c r="X17" s="9" t="b">
        <f t="shared" si="6"/>
        <v>0</v>
      </c>
      <c r="Y17" s="10">
        <f t="shared" ref="Y17:Y31" si="12">1-Q17</f>
        <v>4.833333333342793E-6</v>
      </c>
      <c r="Z17" s="26">
        <f t="shared" ref="Z17:Z31" si="13">1-R17</f>
        <v>4.833333333342793E-6</v>
      </c>
    </row>
    <row r="18" spans="2:26" x14ac:dyDescent="0.25">
      <c r="B18" s="8" t="s">
        <v>96</v>
      </c>
      <c r="C18" s="9">
        <v>1.7000000000000011</v>
      </c>
      <c r="D18" s="9">
        <v>2.5</v>
      </c>
      <c r="E18" s="23" t="s">
        <v>9</v>
      </c>
      <c r="F18" s="8" t="s">
        <v>13</v>
      </c>
      <c r="G18" s="10">
        <v>3.4710599999999999E-5</v>
      </c>
      <c r="H18" s="26">
        <v>3.4710599999999999E-5</v>
      </c>
      <c r="I18" s="8" t="s">
        <v>9</v>
      </c>
      <c r="J18" s="10">
        <v>2.5000000000000002E-6</v>
      </c>
      <c r="K18" s="26">
        <v>5.1666666666666632E-6</v>
      </c>
      <c r="L18" s="31">
        <f t="shared" si="0"/>
        <v>2.5000000000000002E-6</v>
      </c>
      <c r="M18" s="10">
        <f t="shared" si="7"/>
        <v>5.1666666666666632E-6</v>
      </c>
      <c r="N18" s="11">
        <f t="shared" si="1"/>
        <v>2.0666666666666651</v>
      </c>
      <c r="O18" s="32" t="str">
        <f t="shared" si="2"/>
        <v>+I</v>
      </c>
      <c r="P18" s="9"/>
      <c r="Q18" s="31">
        <f t="shared" si="8"/>
        <v>0.99999483333333339</v>
      </c>
      <c r="R18" s="10">
        <f t="shared" si="9"/>
        <v>0.99999483333333339</v>
      </c>
      <c r="S18" s="10">
        <f t="shared" si="10"/>
        <v>7.2250000000000008E-5</v>
      </c>
      <c r="T18" s="10">
        <f t="shared" si="11"/>
        <v>7.2250000000000008E-5</v>
      </c>
      <c r="U18" s="9">
        <f t="array" ref="U18">MIN(IF('Normen en duidingsklassen'!$E$13:$E$20&gt;=$M18,'Normen en duidingsklassen'!$E$13:$E$20))</f>
        <v>3.3333333333333335E-5</v>
      </c>
      <c r="V18" s="9">
        <f>IFERROR(MATCH($U18,'Normen en duidingsklassen'!$E$13:$E$20,0),1)</f>
        <v>3</v>
      </c>
      <c r="W18" s="9" t="str">
        <f>INDEX('Normen en duidingsklassen'!$D$13:$D$20,V18)</f>
        <v>+I</v>
      </c>
      <c r="X18" s="9" t="b">
        <f t="shared" si="6"/>
        <v>0</v>
      </c>
      <c r="Y18" s="10">
        <f t="shared" si="12"/>
        <v>5.1666666666116967E-6</v>
      </c>
      <c r="Z18" s="26">
        <f t="shared" si="13"/>
        <v>5.1666666666116967E-6</v>
      </c>
    </row>
    <row r="19" spans="2:26" x14ac:dyDescent="0.25">
      <c r="B19" s="8" t="s">
        <v>97</v>
      </c>
      <c r="C19" s="9">
        <v>2.5</v>
      </c>
      <c r="D19" s="9">
        <v>4.2000000000000011</v>
      </c>
      <c r="E19" s="23" t="s">
        <v>9</v>
      </c>
      <c r="F19" s="8" t="s">
        <v>13</v>
      </c>
      <c r="G19" s="10">
        <v>5.4514800000000002E-5</v>
      </c>
      <c r="H19" s="26">
        <v>1.7808168000000009E-4</v>
      </c>
      <c r="I19" s="8" t="s">
        <v>10</v>
      </c>
      <c r="J19" s="10"/>
      <c r="K19" s="26"/>
      <c r="L19" s="31">
        <f t="shared" si="0"/>
        <v>5.4514800000000002E-5</v>
      </c>
      <c r="M19" s="10">
        <f t="shared" si="7"/>
        <v>1.7808168000000009E-4</v>
      </c>
      <c r="N19" s="11">
        <f t="shared" si="1"/>
        <v>3.2666666666666684</v>
      </c>
      <c r="O19" s="32" t="str">
        <f t="shared" si="2"/>
        <v>+0</v>
      </c>
      <c r="P19" s="9"/>
      <c r="Q19" s="31">
        <f t="shared" si="8"/>
        <v>0.99982191832</v>
      </c>
      <c r="R19" s="10">
        <f t="shared" si="9"/>
        <v>0.99982191832</v>
      </c>
      <c r="S19" s="10">
        <f t="shared" si="10"/>
        <v>1.57547772E-3</v>
      </c>
      <c r="T19" s="10">
        <f t="shared" si="11"/>
        <v>1.57547772E-3</v>
      </c>
      <c r="U19" s="9">
        <f t="array" ref="U19">MIN(IF('Normen en duidingsklassen'!$E$13:$E$20&gt;=$M19,'Normen en duidingsklassen'!$E$13:$E$20))</f>
        <v>3.3333333333333332E-4</v>
      </c>
      <c r="V19" s="9">
        <f>IFERROR(MATCH($U19,'Normen en duidingsklassen'!$E$13:$E$20,0),1)</f>
        <v>4</v>
      </c>
      <c r="W19" s="9" t="str">
        <f>INDEX('Normen en duidingsklassen'!$D$13:$D$20,V19)</f>
        <v>+0</v>
      </c>
      <c r="X19" s="9" t="b">
        <f t="shared" si="6"/>
        <v>0</v>
      </c>
      <c r="Y19" s="10">
        <f t="shared" si="12"/>
        <v>1.7808167999999736E-4</v>
      </c>
      <c r="Z19" s="26">
        <f t="shared" si="13"/>
        <v>1.7808167999999736E-4</v>
      </c>
    </row>
    <row r="20" spans="2:26" x14ac:dyDescent="0.25">
      <c r="B20" s="8" t="s">
        <v>98</v>
      </c>
      <c r="C20" s="9">
        <v>4.2000000000000011</v>
      </c>
      <c r="D20" s="9">
        <v>4.5500000000000007</v>
      </c>
      <c r="E20" s="23" t="s">
        <v>9</v>
      </c>
      <c r="F20" s="8" t="s">
        <v>13</v>
      </c>
      <c r="G20" s="10">
        <v>5.4514800000000002E-5</v>
      </c>
      <c r="H20" s="26">
        <v>5.4514800000000002E-5</v>
      </c>
      <c r="I20" s="8" t="s">
        <v>9</v>
      </c>
      <c r="J20" s="10">
        <v>2.5000000000000002E-6</v>
      </c>
      <c r="K20" s="26">
        <v>3.6666666666666657E-6</v>
      </c>
      <c r="L20" s="31">
        <f t="shared" si="0"/>
        <v>2.5000000000000002E-6</v>
      </c>
      <c r="M20" s="10">
        <f t="shared" si="7"/>
        <v>3.6666666666666657E-6</v>
      </c>
      <c r="N20" s="11">
        <f t="shared" si="1"/>
        <v>1.4666666666666661</v>
      </c>
      <c r="O20" s="32" t="str">
        <f t="shared" si="2"/>
        <v>+I</v>
      </c>
      <c r="P20" s="9"/>
      <c r="Q20" s="31">
        <f t="shared" si="8"/>
        <v>0.99999633333333338</v>
      </c>
      <c r="R20" s="10">
        <f t="shared" si="9"/>
        <v>0.99999633333333338</v>
      </c>
      <c r="S20" s="10">
        <f t="shared" si="10"/>
        <v>7.2250000000000008E-5</v>
      </c>
      <c r="T20" s="10">
        <f t="shared" si="11"/>
        <v>7.2250000000000008E-5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3</v>
      </c>
      <c r="W20" s="9" t="str">
        <f>INDEX('Normen en duidingsklassen'!$D$13:$D$20,V20)</f>
        <v>+I</v>
      </c>
      <c r="X20" s="9" t="b">
        <f t="shared" si="6"/>
        <v>0</v>
      </c>
      <c r="Y20" s="10">
        <f t="shared" si="12"/>
        <v>3.6666666666240744E-6</v>
      </c>
      <c r="Z20" s="26">
        <f t="shared" si="13"/>
        <v>3.6666666666240744E-6</v>
      </c>
    </row>
    <row r="21" spans="2:26" x14ac:dyDescent="0.25">
      <c r="B21" s="8" t="s">
        <v>99</v>
      </c>
      <c r="C21" s="9">
        <v>4.5500000000000007</v>
      </c>
      <c r="D21" s="9">
        <v>6.2000000000000011</v>
      </c>
      <c r="E21" s="23" t="s">
        <v>9</v>
      </c>
      <c r="F21" s="8" t="s">
        <v>13</v>
      </c>
      <c r="G21" s="10">
        <v>1.3001500000000001E-4</v>
      </c>
      <c r="H21" s="26">
        <v>1.3001500000000001E-4</v>
      </c>
      <c r="I21" s="8" t="s">
        <v>9</v>
      </c>
      <c r="J21" s="10">
        <v>2.5000000000000002E-6</v>
      </c>
      <c r="K21" s="26">
        <v>8.0000000000000013E-6</v>
      </c>
      <c r="L21" s="31">
        <f t="shared" si="0"/>
        <v>2.5000000000000002E-6</v>
      </c>
      <c r="M21" s="10">
        <f t="shared" si="7"/>
        <v>8.0000000000000013E-6</v>
      </c>
      <c r="N21" s="11">
        <f t="shared" si="1"/>
        <v>3.2</v>
      </c>
      <c r="O21" s="32" t="str">
        <f t="shared" si="2"/>
        <v>+I</v>
      </c>
      <c r="P21" s="9"/>
      <c r="Q21" s="31">
        <f t="shared" si="8"/>
        <v>0.99999199999999999</v>
      </c>
      <c r="R21" s="10">
        <f t="shared" si="9"/>
        <v>0.99999199999999999</v>
      </c>
      <c r="S21" s="10">
        <f t="shared" si="10"/>
        <v>7.2250000000000008E-5</v>
      </c>
      <c r="T21" s="10">
        <f t="shared" si="11"/>
        <v>7.2250000000000008E-5</v>
      </c>
      <c r="U21" s="9">
        <f t="array" ref="U21">MIN(IF('Normen en duidingsklassen'!$E$13:$E$20&gt;=$M21,'Normen en duidingsklassen'!$E$13:$E$20))</f>
        <v>3.3333333333333335E-5</v>
      </c>
      <c r="V21" s="9">
        <f>IFERROR(MATCH($U21,'Normen en duidingsklassen'!$E$13:$E$20,0),1)</f>
        <v>3</v>
      </c>
      <c r="W21" s="9" t="str">
        <f>INDEX('Normen en duidingsklassen'!$D$13:$D$20,V21)</f>
        <v>+I</v>
      </c>
      <c r="X21" s="9" t="b">
        <f t="shared" si="6"/>
        <v>0</v>
      </c>
      <c r="Y21" s="10">
        <f t="shared" si="12"/>
        <v>8.0000000000080007E-6</v>
      </c>
      <c r="Z21" s="26">
        <f t="shared" si="13"/>
        <v>8.0000000000080007E-6</v>
      </c>
    </row>
    <row r="22" spans="2:26" x14ac:dyDescent="0.25">
      <c r="B22" s="8" t="s">
        <v>100</v>
      </c>
      <c r="C22" s="9">
        <v>6.2000000000000011</v>
      </c>
      <c r="D22" s="9">
        <v>7.1</v>
      </c>
      <c r="E22" s="23" t="s">
        <v>9</v>
      </c>
      <c r="F22" s="8" t="s">
        <v>13</v>
      </c>
      <c r="G22" s="10">
        <v>2.2578500000000001E-13</v>
      </c>
      <c r="H22" s="26">
        <v>4.9672699999999963E-13</v>
      </c>
      <c r="I22" s="8" t="s">
        <v>10</v>
      </c>
      <c r="J22" s="10"/>
      <c r="K22" s="26"/>
      <c r="L22" s="31">
        <f t="shared" si="0"/>
        <v>2.2578500000000001E-13</v>
      </c>
      <c r="M22" s="10">
        <f t="shared" si="7"/>
        <v>4.9672699999999963E-13</v>
      </c>
      <c r="N22" s="11">
        <f t="shared" si="1"/>
        <v>2.1999999999999984</v>
      </c>
      <c r="O22" s="32" t="str">
        <f t="shared" si="2"/>
        <v>+III</v>
      </c>
      <c r="P22" s="9"/>
      <c r="Q22" s="31">
        <f t="shared" si="8"/>
        <v>0.99999999999950329</v>
      </c>
      <c r="R22" s="10">
        <f t="shared" si="9"/>
        <v>0.99999999999950329</v>
      </c>
      <c r="S22" s="10">
        <f t="shared" si="10"/>
        <v>6.5251865E-12</v>
      </c>
      <c r="T22" s="10">
        <f t="shared" si="11"/>
        <v>6.5251865E-12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6"/>
        <v>0</v>
      </c>
      <c r="Y22" s="10">
        <f t="shared" si="12"/>
        <v>4.9671378121729504E-13</v>
      </c>
      <c r="Z22" s="26">
        <f t="shared" si="13"/>
        <v>4.9671378121729504E-13</v>
      </c>
    </row>
    <row r="23" spans="2:26" x14ac:dyDescent="0.25">
      <c r="B23" s="8" t="s">
        <v>101</v>
      </c>
      <c r="C23" s="9">
        <v>7.1</v>
      </c>
      <c r="D23" s="9">
        <v>7.35</v>
      </c>
      <c r="E23" s="23" t="s">
        <v>9</v>
      </c>
      <c r="F23" s="8" t="s">
        <v>13</v>
      </c>
      <c r="G23" s="10">
        <v>4.2707099999999999E-13</v>
      </c>
      <c r="H23" s="26">
        <v>5.6942799999999998E-13</v>
      </c>
      <c r="I23" s="8" t="s">
        <v>10</v>
      </c>
      <c r="J23" s="10"/>
      <c r="K23" s="26"/>
      <c r="L23" s="31">
        <f t="shared" si="0"/>
        <v>4.2707099999999999E-13</v>
      </c>
      <c r="M23" s="10">
        <f t="shared" si="7"/>
        <v>5.6942799999999998E-13</v>
      </c>
      <c r="N23" s="11">
        <f t="shared" si="1"/>
        <v>1.3333333333333333</v>
      </c>
      <c r="O23" s="32" t="str">
        <f t="shared" si="2"/>
        <v>+III</v>
      </c>
      <c r="P23" s="9"/>
      <c r="Q23" s="31">
        <f t="shared" si="8"/>
        <v>0.99999999999943057</v>
      </c>
      <c r="R23" s="10">
        <f t="shared" si="9"/>
        <v>0.99999999999943057</v>
      </c>
      <c r="S23" s="10">
        <f t="shared" si="10"/>
        <v>1.2342351899999998E-11</v>
      </c>
      <c r="T23" s="10">
        <f t="shared" si="11"/>
        <v>1.2342351899999998E-11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6"/>
        <v>0</v>
      </c>
      <c r="Y23" s="10">
        <f t="shared" si="12"/>
        <v>5.6943338933024279E-13</v>
      </c>
      <c r="Z23" s="26">
        <f t="shared" si="13"/>
        <v>5.6943338933024279E-13</v>
      </c>
    </row>
    <row r="24" spans="2:26" x14ac:dyDescent="0.25">
      <c r="B24" s="8" t="s">
        <v>102</v>
      </c>
      <c r="C24" s="9">
        <v>7.35</v>
      </c>
      <c r="D24" s="9">
        <v>7.7000000000000011</v>
      </c>
      <c r="E24" s="23" t="s">
        <v>9</v>
      </c>
      <c r="F24" s="8" t="s">
        <v>14</v>
      </c>
      <c r="G24" s="10">
        <v>1.2357199999999999E-5</v>
      </c>
      <c r="H24" s="26">
        <v>1.2357199999999999E-5</v>
      </c>
      <c r="I24" s="8" t="s">
        <v>9</v>
      </c>
      <c r="J24" s="10">
        <v>2.5000000000000002E-6</v>
      </c>
      <c r="K24" s="26">
        <v>3.6666666666666717E-6</v>
      </c>
      <c r="L24" s="31">
        <f t="shared" si="0"/>
        <v>2.5000000000000002E-6</v>
      </c>
      <c r="M24" s="10">
        <f t="shared" si="7"/>
        <v>3.6666666666666717E-6</v>
      </c>
      <c r="N24" s="11">
        <f t="shared" si="1"/>
        <v>1.4666666666666686</v>
      </c>
      <c r="O24" s="32" t="str">
        <f t="shared" si="2"/>
        <v>+I</v>
      </c>
      <c r="P24" s="9"/>
      <c r="Q24" s="31">
        <f t="shared" si="8"/>
        <v>0.99999633333333338</v>
      </c>
      <c r="R24" s="10">
        <f t="shared" si="9"/>
        <v>0.99999633333333338</v>
      </c>
      <c r="S24" s="10">
        <f t="shared" si="10"/>
        <v>7.2250000000000008E-5</v>
      </c>
      <c r="T24" s="10">
        <f t="shared" si="11"/>
        <v>7.2250000000000008E-5</v>
      </c>
      <c r="U24" s="9">
        <f t="array" ref="U24">MIN(IF('Normen en duidingsklassen'!$E$13:$E$20&gt;=$M24,'Normen en duidingsklassen'!$E$13:$E$20))</f>
        <v>3.3333333333333335E-5</v>
      </c>
      <c r="V24" s="9">
        <f>IFERROR(MATCH($U24,'Normen en duidingsklassen'!$E$13:$E$20,0),1)</f>
        <v>3</v>
      </c>
      <c r="W24" s="9" t="str">
        <f>INDEX('Normen en duidingsklassen'!$D$13:$D$20,V24)</f>
        <v>+I</v>
      </c>
      <c r="X24" s="9" t="b">
        <f t="shared" si="6"/>
        <v>0</v>
      </c>
      <c r="Y24" s="10">
        <f t="shared" si="12"/>
        <v>3.6666666666240744E-6</v>
      </c>
      <c r="Z24" s="26">
        <f t="shared" si="13"/>
        <v>3.6666666666240744E-6</v>
      </c>
    </row>
    <row r="25" spans="2:26" x14ac:dyDescent="0.25">
      <c r="B25" s="8" t="s">
        <v>103</v>
      </c>
      <c r="C25" s="9">
        <v>7.7000000000000011</v>
      </c>
      <c r="D25" s="9">
        <v>9.4</v>
      </c>
      <c r="E25" s="23" t="s">
        <v>9</v>
      </c>
      <c r="F25" s="8" t="s">
        <v>13</v>
      </c>
      <c r="G25" s="10">
        <v>0.28596295399999999</v>
      </c>
      <c r="H25" s="26">
        <v>0.28596295399999999</v>
      </c>
      <c r="I25" s="8" t="s">
        <v>9</v>
      </c>
      <c r="J25" s="10">
        <v>2.5000000000000002E-6</v>
      </c>
      <c r="K25" s="26">
        <v>8.1666666666666641E-6</v>
      </c>
      <c r="L25" s="31">
        <f t="shared" si="0"/>
        <v>2.5000000000000002E-6</v>
      </c>
      <c r="M25" s="10">
        <f t="shared" si="7"/>
        <v>8.1666666666666641E-6</v>
      </c>
      <c r="N25" s="11">
        <f t="shared" si="1"/>
        <v>3.2666666666666653</v>
      </c>
      <c r="O25" s="32" t="str">
        <f t="shared" si="2"/>
        <v>+I</v>
      </c>
      <c r="P25" s="9"/>
      <c r="Q25" s="31">
        <f t="shared" si="8"/>
        <v>0.9999918333333333</v>
      </c>
      <c r="R25" s="10">
        <f t="shared" si="9"/>
        <v>0.9999918333333333</v>
      </c>
      <c r="S25" s="10">
        <f t="shared" si="10"/>
        <v>7.2250000000000008E-5</v>
      </c>
      <c r="T25" s="10">
        <f t="shared" si="11"/>
        <v>7.2250000000000008E-5</v>
      </c>
      <c r="U25" s="9">
        <f t="array" ref="U25">MIN(IF('Normen en duidingsklassen'!$E$13:$E$20&gt;=$M25,'Normen en duidingsklassen'!$E$13:$E$20))</f>
        <v>3.3333333333333335E-5</v>
      </c>
      <c r="V25" s="9">
        <f>IFERROR(MATCH($U25,'Normen en duidingsklassen'!$E$13:$E$20,0),1)</f>
        <v>3</v>
      </c>
      <c r="W25" s="9" t="str">
        <f>INDEX('Normen en duidingsklassen'!$D$13:$D$20,V25)</f>
        <v>+I</v>
      </c>
      <c r="X25" s="9" t="b">
        <f t="shared" si="6"/>
        <v>0</v>
      </c>
      <c r="Y25" s="10">
        <f t="shared" si="12"/>
        <v>8.1666666666979637E-6</v>
      </c>
      <c r="Z25" s="26">
        <f t="shared" si="13"/>
        <v>8.1666666666979637E-6</v>
      </c>
    </row>
    <row r="26" spans="2:26" x14ac:dyDescent="0.25">
      <c r="B26" s="8" t="s">
        <v>104</v>
      </c>
      <c r="C26" s="9">
        <v>9.4</v>
      </c>
      <c r="D26" s="9">
        <v>10.1</v>
      </c>
      <c r="E26" s="23" t="s">
        <v>9</v>
      </c>
      <c r="F26" s="8" t="s">
        <v>13</v>
      </c>
      <c r="G26" s="10">
        <v>0.29340027699999999</v>
      </c>
      <c r="H26" s="26">
        <v>0.29340027699999999</v>
      </c>
      <c r="I26" s="8" t="s">
        <v>9</v>
      </c>
      <c r="J26" s="10">
        <v>2.5000000000000002E-6</v>
      </c>
      <c r="K26" s="26">
        <v>4.8333333333333308E-6</v>
      </c>
      <c r="L26" s="31">
        <f t="shared" si="0"/>
        <v>2.5000000000000002E-6</v>
      </c>
      <c r="M26" s="10">
        <f t="shared" si="7"/>
        <v>4.8333333333333308E-6</v>
      </c>
      <c r="N26" s="11">
        <f t="shared" si="1"/>
        <v>1.9333333333333322</v>
      </c>
      <c r="O26" s="32" t="str">
        <f t="shared" si="2"/>
        <v>+I</v>
      </c>
      <c r="P26" s="9"/>
      <c r="Q26" s="31">
        <f t="shared" si="8"/>
        <v>0.99999516666666666</v>
      </c>
      <c r="R26" s="10">
        <f t="shared" si="9"/>
        <v>0.99999516666666666</v>
      </c>
      <c r="S26" s="10">
        <f t="shared" si="10"/>
        <v>7.2250000000000008E-5</v>
      </c>
      <c r="T26" s="10">
        <f t="shared" si="11"/>
        <v>7.2250000000000008E-5</v>
      </c>
      <c r="U26" s="9">
        <f t="array" ref="U26">MIN(IF('Normen en duidingsklassen'!$E$13:$E$20&gt;=$M26,'Normen en duidingsklassen'!$E$13:$E$20))</f>
        <v>3.3333333333333335E-5</v>
      </c>
      <c r="V26" s="9">
        <f>IFERROR(MATCH($U26,'Normen en duidingsklassen'!$E$13:$E$20,0),1)</f>
        <v>3</v>
      </c>
      <c r="W26" s="9" t="str">
        <f>INDEX('Normen en duidingsklassen'!$D$13:$D$20,V26)</f>
        <v>+I</v>
      </c>
      <c r="X26" s="9" t="b">
        <f t="shared" si="6"/>
        <v>0</v>
      </c>
      <c r="Y26" s="10">
        <f t="shared" si="12"/>
        <v>4.833333333342793E-6</v>
      </c>
      <c r="Z26" s="26">
        <f t="shared" si="13"/>
        <v>4.833333333342793E-6</v>
      </c>
    </row>
    <row r="27" spans="2:26" x14ac:dyDescent="0.25">
      <c r="B27" s="8" t="s">
        <v>105</v>
      </c>
      <c r="C27" s="9">
        <v>10.1</v>
      </c>
      <c r="D27" s="9">
        <v>12.200000000000001</v>
      </c>
      <c r="E27" s="23" t="s">
        <v>9</v>
      </c>
      <c r="F27" s="8" t="s">
        <v>13</v>
      </c>
      <c r="G27" s="10">
        <v>8.4661900000000003E-5</v>
      </c>
      <c r="H27" s="26">
        <v>8.4661900000000003E-5</v>
      </c>
      <c r="I27" s="8" t="s">
        <v>9</v>
      </c>
      <c r="J27" s="10">
        <v>2.5000000000000002E-6</v>
      </c>
      <c r="K27" s="26">
        <v>9.5000000000000056E-6</v>
      </c>
      <c r="L27" s="31">
        <f t="shared" si="0"/>
        <v>2.5000000000000002E-6</v>
      </c>
      <c r="M27" s="10">
        <f t="shared" si="7"/>
        <v>9.5000000000000056E-6</v>
      </c>
      <c r="N27" s="11">
        <f t="shared" si="1"/>
        <v>3.800000000000002</v>
      </c>
      <c r="O27" s="32" t="str">
        <f t="shared" si="2"/>
        <v>+I</v>
      </c>
      <c r="P27" s="9"/>
      <c r="Q27" s="31">
        <f t="shared" si="8"/>
        <v>0.9999905</v>
      </c>
      <c r="R27" s="10">
        <f t="shared" si="9"/>
        <v>0.9999905</v>
      </c>
      <c r="S27" s="10">
        <f t="shared" si="10"/>
        <v>7.2250000000000008E-5</v>
      </c>
      <c r="T27" s="10">
        <f t="shared" si="11"/>
        <v>7.2250000000000008E-5</v>
      </c>
      <c r="U27" s="9">
        <f t="array" ref="U27">MIN(IF('Normen en duidingsklassen'!$E$13:$E$20&gt;=$M27,'Normen en duidingsklassen'!$E$13:$E$20))</f>
        <v>3.3333333333333335E-5</v>
      </c>
      <c r="V27" s="9">
        <f>IFERROR(MATCH($U27,'Normen en duidingsklassen'!$E$13:$E$20,0),1)</f>
        <v>3</v>
      </c>
      <c r="W27" s="9" t="str">
        <f>INDEX('Normen en duidingsklassen'!$D$13:$D$20,V27)</f>
        <v>+I</v>
      </c>
      <c r="X27" s="9" t="b">
        <f t="shared" si="6"/>
        <v>0</v>
      </c>
      <c r="Y27" s="10">
        <f t="shared" si="12"/>
        <v>9.4999999999956231E-6</v>
      </c>
      <c r="Z27" s="26">
        <f t="shared" si="13"/>
        <v>9.4999999999956231E-6</v>
      </c>
    </row>
    <row r="28" spans="2:26" x14ac:dyDescent="0.25">
      <c r="B28" s="8" t="s">
        <v>106</v>
      </c>
      <c r="C28" s="9">
        <v>12.200000000000001</v>
      </c>
      <c r="D28" s="9">
        <v>14.4</v>
      </c>
      <c r="E28" s="23" t="s">
        <v>9</v>
      </c>
      <c r="F28" s="8" t="s">
        <v>14</v>
      </c>
      <c r="G28" s="10">
        <v>6.3678600000000002E-8</v>
      </c>
      <c r="H28" s="26">
        <v>2.5046915999999996E-7</v>
      </c>
      <c r="I28" s="8" t="s">
        <v>10</v>
      </c>
      <c r="J28" s="10"/>
      <c r="K28" s="26"/>
      <c r="L28" s="31">
        <f t="shared" si="0"/>
        <v>6.3678600000000002E-8</v>
      </c>
      <c r="M28" s="10">
        <f t="shared" si="7"/>
        <v>2.5046915999999996E-7</v>
      </c>
      <c r="N28" s="11">
        <f t="shared" si="1"/>
        <v>3.9333333333333327</v>
      </c>
      <c r="O28" s="32" t="str">
        <f t="shared" si="2"/>
        <v>+III</v>
      </c>
      <c r="P28" s="9"/>
      <c r="Q28" s="31">
        <f t="shared" si="8"/>
        <v>1</v>
      </c>
      <c r="R28" s="10">
        <f t="shared" si="9"/>
        <v>1</v>
      </c>
      <c r="S28" s="10">
        <f t="shared" si="10"/>
        <v>0</v>
      </c>
      <c r="T28" s="10">
        <f t="shared" si="11"/>
        <v>0</v>
      </c>
      <c r="U28" s="9">
        <f t="array" ref="U28">MIN(IF('Normen en duidingsklassen'!$E$13:$E$20&gt;=$M28,'Normen en duidingsklassen'!$E$13:$E$20))</f>
        <v>3.3333333333333335E-7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9" t="b">
        <f t="shared" si="6"/>
        <v>0</v>
      </c>
      <c r="Y28" s="10">
        <f t="shared" si="12"/>
        <v>0</v>
      </c>
      <c r="Z28" s="26">
        <f t="shared" si="13"/>
        <v>0</v>
      </c>
    </row>
    <row r="29" spans="2:26" x14ac:dyDescent="0.25">
      <c r="B29" s="8" t="s">
        <v>107</v>
      </c>
      <c r="C29" s="9">
        <v>14.4</v>
      </c>
      <c r="D29" s="9">
        <v>16</v>
      </c>
      <c r="E29" s="23" t="s">
        <v>9</v>
      </c>
      <c r="F29" s="8" t="s">
        <v>13</v>
      </c>
      <c r="G29" s="10">
        <v>5.6538300000000003E-8</v>
      </c>
      <c r="H29" s="26">
        <v>1.7715333999999999E-7</v>
      </c>
      <c r="I29" s="8" t="s">
        <v>10</v>
      </c>
      <c r="J29" s="10"/>
      <c r="K29" s="26"/>
      <c r="L29" s="31">
        <f t="shared" si="0"/>
        <v>5.6538300000000003E-8</v>
      </c>
      <c r="M29" s="10">
        <f t="shared" si="7"/>
        <v>1.7715333999999999E-7</v>
      </c>
      <c r="N29" s="11">
        <f t="shared" si="1"/>
        <v>3.1333333333333329</v>
      </c>
      <c r="O29" s="32" t="str">
        <f t="shared" si="2"/>
        <v>+III</v>
      </c>
      <c r="P29" s="9"/>
      <c r="Q29" s="31">
        <f t="shared" si="8"/>
        <v>0.99999982284666</v>
      </c>
      <c r="R29" s="10">
        <f t="shared" si="9"/>
        <v>0.99999982284666</v>
      </c>
      <c r="S29" s="10">
        <f t="shared" si="10"/>
        <v>1.63395687E-6</v>
      </c>
      <c r="T29" s="10">
        <f t="shared" si="11"/>
        <v>1.63395687E-6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6"/>
        <v>0</v>
      </c>
      <c r="Y29" s="10">
        <f t="shared" si="12"/>
        <v>1.7715333999746008E-7</v>
      </c>
      <c r="Z29" s="26">
        <f t="shared" si="13"/>
        <v>1.7715333999746008E-7</v>
      </c>
    </row>
    <row r="30" spans="2:26" x14ac:dyDescent="0.25">
      <c r="B30" s="8" t="s">
        <v>108</v>
      </c>
      <c r="C30" s="9">
        <v>16</v>
      </c>
      <c r="D30" s="9">
        <v>16.399999999999999</v>
      </c>
      <c r="E30" s="23" t="s">
        <v>9</v>
      </c>
      <c r="F30" s="8" t="s">
        <v>13</v>
      </c>
      <c r="G30" s="10">
        <v>1.0956199999999999E-12</v>
      </c>
      <c r="H30" s="26">
        <v>1.6799999999999999E-12</v>
      </c>
      <c r="I30" s="8" t="s">
        <v>10</v>
      </c>
      <c r="J30" s="10"/>
      <c r="K30" s="26"/>
      <c r="L30" s="31">
        <f t="shared" si="0"/>
        <v>1.0956199999999999E-12</v>
      </c>
      <c r="M30" s="10">
        <f t="shared" si="7"/>
        <v>1.6799999999999999E-12</v>
      </c>
      <c r="N30" s="11">
        <f t="shared" si="1"/>
        <v>1.533378361110604</v>
      </c>
      <c r="O30" s="32" t="str">
        <f t="shared" si="2"/>
        <v>+III</v>
      </c>
      <c r="P30" s="9"/>
      <c r="Q30" s="31">
        <f t="shared" si="8"/>
        <v>0.99999999999832001</v>
      </c>
      <c r="R30" s="10">
        <f t="shared" si="9"/>
        <v>0.99999999999832001</v>
      </c>
      <c r="S30" s="10">
        <f t="shared" si="10"/>
        <v>3.1663417999999999E-11</v>
      </c>
      <c r="T30" s="10">
        <f t="shared" si="11"/>
        <v>3.1663417999999999E-11</v>
      </c>
      <c r="U30" s="9">
        <f t="array" ref="U30">MIN(IF('Normen en duidingsklassen'!$E$13:$E$20&gt;=$M30,'Normen en duidingsklassen'!$E$13:$E$20))</f>
        <v>3.3333333333333335E-7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6"/>
        <v>0</v>
      </c>
      <c r="Y30" s="10">
        <f t="shared" si="12"/>
        <v>1.6799894808627869E-12</v>
      </c>
      <c r="Z30" s="26">
        <f t="shared" si="13"/>
        <v>1.6799894808627869E-12</v>
      </c>
    </row>
    <row r="31" spans="2:26" ht="15.75" thickBot="1" x14ac:dyDescent="0.3">
      <c r="B31" s="13" t="s">
        <v>109</v>
      </c>
      <c r="C31" s="14">
        <v>16.399999999999999</v>
      </c>
      <c r="D31" s="14">
        <v>17.5</v>
      </c>
      <c r="E31" s="24" t="s">
        <v>9</v>
      </c>
      <c r="F31" s="13" t="s">
        <v>13</v>
      </c>
      <c r="G31" s="15">
        <v>3.0666800000000001E-6</v>
      </c>
      <c r="H31" s="27">
        <v>7.5611000000000003E-6</v>
      </c>
      <c r="I31" s="13" t="s">
        <v>10</v>
      </c>
      <c r="J31" s="15"/>
      <c r="K31" s="27"/>
      <c r="L31" s="33">
        <f t="shared" si="0"/>
        <v>3.0666800000000001E-6</v>
      </c>
      <c r="M31" s="15">
        <f t="shared" si="7"/>
        <v>7.5611000000000003E-6</v>
      </c>
      <c r="N31" s="16">
        <f t="shared" si="1"/>
        <v>2.4655653671070996</v>
      </c>
      <c r="O31" s="34" t="str">
        <f t="shared" si="2"/>
        <v>+I</v>
      </c>
      <c r="P31" s="9"/>
      <c r="Q31" s="33">
        <f t="shared" si="8"/>
        <v>0.9999924389</v>
      </c>
      <c r="R31" s="15">
        <f t="shared" si="9"/>
        <v>0.9999924389</v>
      </c>
      <c r="S31" s="15">
        <f t="shared" si="10"/>
        <v>8.8627051999999999E-5</v>
      </c>
      <c r="T31" s="15">
        <f t="shared" si="11"/>
        <v>8.8627051999999999E-5</v>
      </c>
      <c r="U31" s="14">
        <f t="array" ref="U31">MIN(IF('Normen en duidingsklassen'!$E$13:$E$20&gt;=$M31,'Normen en duidingsklassen'!$E$13:$E$20))</f>
        <v>3.3333333333333335E-5</v>
      </c>
      <c r="V31" s="14">
        <f>IFERROR(MATCH($U31,'Normen en duidingsklassen'!$E$13:$E$20,0),1)</f>
        <v>3</v>
      </c>
      <c r="W31" s="14" t="str">
        <f>INDEX('Normen en duidingsklassen'!$D$13:$D$20,V31)</f>
        <v>+I</v>
      </c>
      <c r="X31" s="14" t="b">
        <f t="shared" si="6"/>
        <v>0</v>
      </c>
      <c r="Y31" s="15">
        <f t="shared" si="12"/>
        <v>7.5610999999975448E-6</v>
      </c>
      <c r="Z31" s="27">
        <f t="shared" si="13"/>
        <v>7.5610999999975448E-6</v>
      </c>
    </row>
    <row r="32" spans="2:26" x14ac:dyDescent="0.25">
      <c r="P32" s="9"/>
      <c r="Q32" s="1"/>
    </row>
    <row r="33" spans="17:17" x14ac:dyDescent="0.25">
      <c r="Q33" s="1"/>
    </row>
  </sheetData>
  <conditionalFormatting sqref="G16:H31">
    <cfRule type="expression" dxfId="109" priority="11">
      <formula>IF($E16="Nee",TRUE,FALSE)</formula>
    </cfRule>
  </conditionalFormatting>
  <conditionalFormatting sqref="J16:K31">
    <cfRule type="expression" dxfId="108" priority="10">
      <formula>IF($I16="Nee",TRUE,FALSE)</formula>
    </cfRule>
  </conditionalFormatting>
  <conditionalFormatting sqref="O16:O31">
    <cfRule type="cellIs" dxfId="107" priority="1" operator="equal">
      <formula>"0"</formula>
    </cfRule>
    <cfRule type="cellIs" dxfId="106" priority="2" operator="equal">
      <formula>"ND"</formula>
    </cfRule>
    <cfRule type="cellIs" dxfId="10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E32:E47 F16:F31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43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6" ht="15.75" thickBot="1" x14ac:dyDescent="0.3">
      <c r="B2" s="2" t="s">
        <v>37</v>
      </c>
      <c r="C2" s="2" t="s">
        <v>54</v>
      </c>
    </row>
    <row r="3" spans="2:26" x14ac:dyDescent="0.25">
      <c r="B3" s="35" t="s">
        <v>33</v>
      </c>
      <c r="C3" s="7">
        <v>14.8</v>
      </c>
    </row>
    <row r="4" spans="2:26" x14ac:dyDescent="0.25">
      <c r="B4" s="39" t="s">
        <v>170</v>
      </c>
      <c r="C4" s="12" t="s">
        <v>9</v>
      </c>
    </row>
    <row r="5" spans="2:26" x14ac:dyDescent="0.25">
      <c r="B5" s="39" t="s">
        <v>172</v>
      </c>
      <c r="C5" s="12" t="s">
        <v>173</v>
      </c>
    </row>
    <row r="6" spans="2:26" x14ac:dyDescent="0.25">
      <c r="B6" s="39" t="s">
        <v>186</v>
      </c>
      <c r="C6" s="12" t="s">
        <v>10</v>
      </c>
    </row>
    <row r="7" spans="2:26" x14ac:dyDescent="0.25">
      <c r="B7" s="39" t="s">
        <v>36</v>
      </c>
      <c r="C7" s="26">
        <f>IFERROR(IF(C5="P1",1-PRODUCT(Q16:Q41),MAX(S16:S41)),"GR")</f>
        <v>3.9350988919691909E-3</v>
      </c>
    </row>
    <row r="8" spans="2:26" x14ac:dyDescent="0.25">
      <c r="B8" s="39" t="s">
        <v>30</v>
      </c>
      <c r="C8" s="26">
        <f>IF(C5="P1",1-PRODUCT(R16:R41),MAX(T16:T41))</f>
        <v>3.9350988919691909E-3</v>
      </c>
    </row>
    <row r="9" spans="2:26" x14ac:dyDescent="0.25">
      <c r="B9" s="39" t="s">
        <v>21</v>
      </c>
      <c r="C9" s="26">
        <f>IFERROR(MAX(Y16:Y41),"GR")</f>
        <v>3.1636710400000378E-3</v>
      </c>
    </row>
    <row r="10" spans="2:26" x14ac:dyDescent="0.25">
      <c r="B10" s="39" t="s">
        <v>174</v>
      </c>
      <c r="C10" s="26">
        <f>MAX(Z16:Z41)</f>
        <v>3.1636710400000378E-3</v>
      </c>
    </row>
    <row r="11" spans="2:26" x14ac:dyDescent="0.25">
      <c r="B11" s="39" t="s">
        <v>28</v>
      </c>
      <c r="C11" s="26">
        <f>IFERROR(1-PRODUCT(Q16:Q41),"GR")</f>
        <v>3.9350988919691909E-3</v>
      </c>
    </row>
    <row r="12" spans="2:26" ht="15.75" thickBot="1" x14ac:dyDescent="0.3">
      <c r="B12" s="40" t="s">
        <v>175</v>
      </c>
      <c r="C12" s="27">
        <f>1-PRODUCT(R16:R41)</f>
        <v>3.9350988919691909E-3</v>
      </c>
    </row>
    <row r="14" spans="2:26" ht="15.75" thickBot="1" x14ac:dyDescent="0.3">
      <c r="Q14" t="s">
        <v>53</v>
      </c>
    </row>
    <row r="15" spans="2:26" ht="60.75" thickBot="1" x14ac:dyDescent="0.3">
      <c r="B15" s="18" t="s">
        <v>0</v>
      </c>
      <c r="C15" s="19" t="s">
        <v>1</v>
      </c>
      <c r="D15" s="19" t="s">
        <v>67</v>
      </c>
      <c r="E15" s="21" t="s">
        <v>3</v>
      </c>
      <c r="F15" s="18" t="s">
        <v>12</v>
      </c>
      <c r="G15" s="19" t="s">
        <v>4</v>
      </c>
      <c r="H15" s="20" t="s">
        <v>5</v>
      </c>
      <c r="I15" s="18" t="s">
        <v>11</v>
      </c>
      <c r="J15" s="19" t="s">
        <v>6</v>
      </c>
      <c r="K15" s="20" t="s">
        <v>7</v>
      </c>
      <c r="L15" s="19" t="s">
        <v>16</v>
      </c>
      <c r="M15" s="19" t="s">
        <v>17</v>
      </c>
      <c r="N15" s="19" t="s">
        <v>18</v>
      </c>
      <c r="O15" s="20" t="s">
        <v>19</v>
      </c>
      <c r="P15" s="2"/>
      <c r="Q15" s="35" t="s">
        <v>31</v>
      </c>
      <c r="R15" s="36" t="s">
        <v>32</v>
      </c>
      <c r="S15" s="36" t="s">
        <v>34</v>
      </c>
      <c r="T15" s="36" t="s">
        <v>35</v>
      </c>
      <c r="U15" s="37" t="s">
        <v>50</v>
      </c>
      <c r="V15" s="37" t="s">
        <v>51</v>
      </c>
      <c r="W15" s="4"/>
      <c r="X15" s="37" t="s">
        <v>52</v>
      </c>
      <c r="Y15" s="37" t="s">
        <v>176</v>
      </c>
      <c r="Z15" s="38" t="s">
        <v>177</v>
      </c>
    </row>
    <row r="16" spans="2:26" x14ac:dyDescent="0.25">
      <c r="B16" s="3" t="s">
        <v>110</v>
      </c>
      <c r="C16" s="4">
        <v>0</v>
      </c>
      <c r="D16" s="4">
        <v>0.59999999999999964</v>
      </c>
      <c r="E16" s="22" t="s">
        <v>9</v>
      </c>
      <c r="F16" s="3" t="s">
        <v>15</v>
      </c>
      <c r="G16" s="5">
        <v>4.2617699999999999E-9</v>
      </c>
      <c r="H16" s="25">
        <v>5.9494309199999998E-9</v>
      </c>
      <c r="I16" s="3" t="s">
        <v>10</v>
      </c>
      <c r="J16" s="5"/>
      <c r="K16" s="25"/>
      <c r="L16" s="29">
        <f t="shared" ref="L16:L18" si="0">IF($E16="Nee",0,IF(I16="Ja",IF(ISNUMBER(J16),J16,"-"),IF(ISNUMBER(G16),G16,"-")))</f>
        <v>4.2617699999999999E-9</v>
      </c>
      <c r="M16" s="5">
        <f t="shared" ref="M16:M18" si="1">IF($E16="Nee",0,IF(I16="Ja",IF(ISNUMBER(K16),K16,"-"),IF(ISNUMBER(H16),H16,"-")))</f>
        <v>5.9494309199999998E-9</v>
      </c>
      <c r="N16" s="6">
        <f t="shared" ref="N16:N18" si="2">IF(ISNUMBER(L16),IF(M16=0,1,M16/L16),"-")</f>
        <v>1.3959999999999999</v>
      </c>
      <c r="O16" s="30" t="str">
        <f t="shared" ref="O16:O34" si="3">IF(E16="Nee","NR",IF(ISNUMBER($M16),W16,IF($X16,"D","ND")))</f>
        <v>+III</v>
      </c>
      <c r="Q16" s="31">
        <f t="shared" ref="Q16" si="4">IF(AND(F16="Geen faalkans",I16="Nee"),1,1-M16)</f>
        <v>0.99999999405056905</v>
      </c>
      <c r="R16" s="10">
        <f t="shared" ref="R16" si="5">IF(M16="-",1,Q16)</f>
        <v>0.99999999405056905</v>
      </c>
      <c r="S16" s="10">
        <f t="shared" ref="S16" si="6">IF(AND(F16="Geen faalkans",I16="Nee"),0,L16*$C$3)</f>
        <v>6.3074195999999996E-8</v>
      </c>
      <c r="T16" s="10">
        <f t="shared" ref="T16" si="7">IF(L16="-",0,S16)</f>
        <v>6.3074195999999996E-8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ref="X16:X34" si="8">IF($E16="Ja",IF($I16="Ja",NOT(ISNUMBER($J16)),FALSE),FALSE)</f>
        <v>0</v>
      </c>
      <c r="Y16" s="10">
        <f>1-Q16</f>
        <v>5.9494309478935747E-9</v>
      </c>
      <c r="Z16" s="26">
        <f>1-R16</f>
        <v>5.9494309478935747E-9</v>
      </c>
    </row>
    <row r="17" spans="2:26" x14ac:dyDescent="0.25">
      <c r="B17" s="8" t="s">
        <v>111</v>
      </c>
      <c r="C17" s="9">
        <v>0.59999999999999964</v>
      </c>
      <c r="D17" s="9">
        <v>1</v>
      </c>
      <c r="E17" s="23" t="s">
        <v>9</v>
      </c>
      <c r="F17" s="8" t="s">
        <v>15</v>
      </c>
      <c r="G17" s="10">
        <v>5.1040099999999998E-8</v>
      </c>
      <c r="H17" s="26">
        <v>6.4514686400000012E-8</v>
      </c>
      <c r="I17" s="8" t="s">
        <v>10</v>
      </c>
      <c r="J17" s="10"/>
      <c r="K17" s="26"/>
      <c r="L17" s="31">
        <f t="shared" si="0"/>
        <v>5.1040099999999998E-8</v>
      </c>
      <c r="M17" s="10">
        <f t="shared" si="1"/>
        <v>6.4514686400000012E-8</v>
      </c>
      <c r="N17" s="11">
        <f t="shared" si="2"/>
        <v>1.2640000000000002</v>
      </c>
      <c r="O17" s="32" t="str">
        <f t="shared" si="3"/>
        <v>+III</v>
      </c>
      <c r="Q17" s="31">
        <f t="shared" ref="Q17:Q34" si="9">IF(AND(F17="Geen faalkans",I17="Nee"),1,1-M17)</f>
        <v>0.99999993548531363</v>
      </c>
      <c r="R17" s="10">
        <f t="shared" ref="R17:R34" si="10">IF(M17="-",1,Q17)</f>
        <v>0.99999993548531363</v>
      </c>
      <c r="S17" s="10">
        <f t="shared" ref="S17:S34" si="11">IF(AND(F17="Geen faalkans",I17="Nee"),0,L17*$C$3)</f>
        <v>7.5539347999999996E-7</v>
      </c>
      <c r="T17" s="10">
        <f t="shared" ref="T17:T34" si="12">IF(L17="-",0,S17)</f>
        <v>7.5539347999999996E-7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8"/>
        <v>0</v>
      </c>
      <c r="Y17" s="10">
        <f t="shared" ref="Y17:Y34" si="13">1-Q17</f>
        <v>6.451468637092006E-8</v>
      </c>
      <c r="Z17" s="26">
        <f t="shared" ref="Z17:Z34" si="14">1-R17</f>
        <v>6.451468637092006E-8</v>
      </c>
    </row>
    <row r="18" spans="2:26" x14ac:dyDescent="0.25">
      <c r="B18" s="8" t="s">
        <v>112</v>
      </c>
      <c r="C18" s="9">
        <v>1</v>
      </c>
      <c r="D18" s="9">
        <v>1.7000000000000011</v>
      </c>
      <c r="E18" s="23" t="s">
        <v>9</v>
      </c>
      <c r="F18" s="8" t="s">
        <v>15</v>
      </c>
      <c r="G18" s="10">
        <v>1.2632899999999999E-8</v>
      </c>
      <c r="H18" s="26">
        <v>1.8469299800000008E-8</v>
      </c>
      <c r="I18" s="8" t="s">
        <v>10</v>
      </c>
      <c r="J18" s="10"/>
      <c r="K18" s="26"/>
      <c r="L18" s="31">
        <f t="shared" si="0"/>
        <v>1.2632899999999999E-8</v>
      </c>
      <c r="M18" s="10">
        <f t="shared" si="1"/>
        <v>1.8469299800000008E-8</v>
      </c>
      <c r="N18" s="11">
        <f t="shared" si="2"/>
        <v>1.4620000000000006</v>
      </c>
      <c r="O18" s="32" t="str">
        <f t="shared" si="3"/>
        <v>+III</v>
      </c>
      <c r="Q18" s="31">
        <f t="shared" si="9"/>
        <v>0.99999998153070024</v>
      </c>
      <c r="R18" s="10">
        <f t="shared" si="10"/>
        <v>0.99999998153070024</v>
      </c>
      <c r="S18" s="10">
        <f t="shared" si="11"/>
        <v>1.8696692000000001E-7</v>
      </c>
      <c r="T18" s="10">
        <f t="shared" si="12"/>
        <v>1.8696692000000001E-7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8"/>
        <v>0</v>
      </c>
      <c r="Y18" s="10">
        <f t="shared" si="13"/>
        <v>1.8469299756240787E-8</v>
      </c>
      <c r="Z18" s="26">
        <f t="shared" si="14"/>
        <v>1.8469299756240787E-8</v>
      </c>
    </row>
    <row r="19" spans="2:26" x14ac:dyDescent="0.25">
      <c r="B19" s="8" t="s">
        <v>113</v>
      </c>
      <c r="C19" s="9">
        <v>1.7000000000000011</v>
      </c>
      <c r="D19" s="9">
        <v>2.5</v>
      </c>
      <c r="E19" s="23" t="s">
        <v>9</v>
      </c>
      <c r="F19" s="8" t="s">
        <v>15</v>
      </c>
      <c r="G19" s="10">
        <v>1.28899E-6</v>
      </c>
      <c r="H19" s="26">
        <v>1.9695767199999987E-6</v>
      </c>
      <c r="I19" s="8" t="s">
        <v>10</v>
      </c>
      <c r="J19" s="10"/>
      <c r="K19" s="26"/>
      <c r="L19" s="31">
        <f t="shared" ref="L19:L34" si="15">IF($E19="Nee",0,IF(I19="Ja",IF(ISNUMBER(J19),J19,"-"),IF(ISNUMBER(G19),G19,"-")))</f>
        <v>1.28899E-6</v>
      </c>
      <c r="M19" s="10">
        <f t="shared" ref="M19:M34" si="16">IF($E19="Nee",0,IF(I19="Ja",IF(ISNUMBER(K19),K19,"-"),IF(ISNUMBER(H19),H19,"-")))</f>
        <v>1.9695767199999987E-6</v>
      </c>
      <c r="N19" s="11">
        <f t="shared" ref="N19:N34" si="17">IF(ISNUMBER(L19),IF(M19=0,1,M19/L19),"-")</f>
        <v>1.5279999999999989</v>
      </c>
      <c r="O19" s="32" t="str">
        <f t="shared" si="3"/>
        <v>+II</v>
      </c>
      <c r="Q19" s="31">
        <f t="shared" si="9"/>
        <v>0.99999803042327995</v>
      </c>
      <c r="R19" s="10">
        <f t="shared" si="10"/>
        <v>0.99999803042327995</v>
      </c>
      <c r="S19" s="10">
        <f t="shared" si="11"/>
        <v>1.9077051999999999E-5</v>
      </c>
      <c r="T19" s="10">
        <f t="shared" si="12"/>
        <v>1.9077051999999999E-5</v>
      </c>
      <c r="U19" s="9">
        <f t="array" ref="U19">MIN(IF('Normen en duidingsklassen'!$E$13:$E$20&gt;=$M19,'Normen en duidingsklassen'!$E$13:$E$20))</f>
        <v>3.3333333333333333E-6</v>
      </c>
      <c r="V19" s="9">
        <f>IFERROR(MATCH($U19,'Normen en duidingsklassen'!$E$13:$E$20,0),1)</f>
        <v>2</v>
      </c>
      <c r="W19" s="9" t="str">
        <f>INDEX('Normen en duidingsklassen'!$D$13:$D$20,V19)</f>
        <v>+II</v>
      </c>
      <c r="X19" s="9" t="b">
        <f t="shared" si="8"/>
        <v>0</v>
      </c>
      <c r="Y19" s="10">
        <f t="shared" si="13"/>
        <v>1.9695767200511582E-6</v>
      </c>
      <c r="Z19" s="26">
        <f t="shared" si="14"/>
        <v>1.9695767200511582E-6</v>
      </c>
    </row>
    <row r="20" spans="2:26" x14ac:dyDescent="0.25">
      <c r="B20" s="8" t="s">
        <v>114</v>
      </c>
      <c r="C20" s="9">
        <v>2.5</v>
      </c>
      <c r="D20" s="9">
        <v>3.0999999999999996</v>
      </c>
      <c r="E20" s="23" t="s">
        <v>9</v>
      </c>
      <c r="F20" s="8" t="s">
        <v>15</v>
      </c>
      <c r="G20" s="10">
        <v>1.2632899999999999E-8</v>
      </c>
      <c r="H20" s="26">
        <v>1.7635528399999998E-8</v>
      </c>
      <c r="I20" s="8" t="s">
        <v>10</v>
      </c>
      <c r="J20" s="10"/>
      <c r="K20" s="26"/>
      <c r="L20" s="31">
        <f t="shared" si="15"/>
        <v>1.2632899999999999E-8</v>
      </c>
      <c r="M20" s="10">
        <f t="shared" si="16"/>
        <v>1.7635528399999998E-8</v>
      </c>
      <c r="N20" s="11">
        <f t="shared" si="17"/>
        <v>1.3959999999999999</v>
      </c>
      <c r="O20" s="32" t="str">
        <f t="shared" si="3"/>
        <v>+III</v>
      </c>
      <c r="Q20" s="31">
        <f t="shared" si="9"/>
        <v>0.99999998236447163</v>
      </c>
      <c r="R20" s="10">
        <f t="shared" si="10"/>
        <v>0.99999998236447163</v>
      </c>
      <c r="S20" s="10">
        <f t="shared" si="11"/>
        <v>1.8696692000000001E-7</v>
      </c>
      <c r="T20" s="10">
        <f t="shared" si="12"/>
        <v>1.8696692000000001E-7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 t="shared" si="8"/>
        <v>0</v>
      </c>
      <c r="Y20" s="10">
        <f t="shared" si="13"/>
        <v>1.763552837097393E-8</v>
      </c>
      <c r="Z20" s="26">
        <f t="shared" si="14"/>
        <v>1.763552837097393E-8</v>
      </c>
    </row>
    <row r="21" spans="2:26" x14ac:dyDescent="0.25">
      <c r="B21" s="8" t="s">
        <v>115</v>
      </c>
      <c r="C21" s="9">
        <v>3.0999999999999996</v>
      </c>
      <c r="D21" s="9">
        <v>4.2000000000000011</v>
      </c>
      <c r="E21" s="23" t="s">
        <v>9</v>
      </c>
      <c r="F21" s="8" t="s">
        <v>15</v>
      </c>
      <c r="G21" s="10">
        <v>2.35126E-6</v>
      </c>
      <c r="H21" s="26">
        <v>4.0582747600000022E-6</v>
      </c>
      <c r="I21" s="8" t="s">
        <v>10</v>
      </c>
      <c r="J21" s="10"/>
      <c r="K21" s="26"/>
      <c r="L21" s="31">
        <f t="shared" si="15"/>
        <v>2.35126E-6</v>
      </c>
      <c r="M21" s="10">
        <f t="shared" si="16"/>
        <v>4.0582747600000022E-6</v>
      </c>
      <c r="N21" s="11">
        <f t="shared" si="17"/>
        <v>1.7260000000000009</v>
      </c>
      <c r="O21" s="32" t="str">
        <f t="shared" si="3"/>
        <v>+I</v>
      </c>
      <c r="Q21" s="31">
        <f t="shared" si="9"/>
        <v>0.99999594172523998</v>
      </c>
      <c r="R21" s="10">
        <f t="shared" si="10"/>
        <v>0.99999594172523998</v>
      </c>
      <c r="S21" s="10">
        <f t="shared" si="11"/>
        <v>3.4798648E-5</v>
      </c>
      <c r="T21" s="10">
        <f t="shared" si="12"/>
        <v>3.4798648E-5</v>
      </c>
      <c r="U21" s="9">
        <f t="array" ref="U21">MIN(IF('Normen en duidingsklassen'!$E$13:$E$20&gt;=$M21,'Normen en duidingsklassen'!$E$13:$E$20))</f>
        <v>3.3333333333333335E-5</v>
      </c>
      <c r="V21" s="9">
        <f>IFERROR(MATCH($U21,'Normen en duidingsklassen'!$E$13:$E$20,0),1)</f>
        <v>3</v>
      </c>
      <c r="W21" s="9" t="str">
        <f>INDEX('Normen en duidingsklassen'!$D$13:$D$20,V21)</f>
        <v>+I</v>
      </c>
      <c r="X21" s="9" t="b">
        <f t="shared" si="8"/>
        <v>0</v>
      </c>
      <c r="Y21" s="10">
        <f t="shared" si="13"/>
        <v>4.0582747600215185E-6</v>
      </c>
      <c r="Z21" s="26">
        <f t="shared" si="14"/>
        <v>4.0582747600215185E-6</v>
      </c>
    </row>
    <row r="22" spans="2:26" x14ac:dyDescent="0.25">
      <c r="B22" s="8" t="s">
        <v>116</v>
      </c>
      <c r="C22" s="9">
        <v>4.2000000000000011</v>
      </c>
      <c r="D22" s="9">
        <v>5.6</v>
      </c>
      <c r="E22" s="23" t="s">
        <v>9</v>
      </c>
      <c r="F22" s="8" t="s">
        <v>15</v>
      </c>
      <c r="G22" s="10">
        <v>5.1040099999999998E-8</v>
      </c>
      <c r="H22" s="26">
        <v>9.8201152399999943E-8</v>
      </c>
      <c r="I22" s="8" t="s">
        <v>10</v>
      </c>
      <c r="J22" s="10"/>
      <c r="K22" s="26"/>
      <c r="L22" s="31">
        <f t="shared" si="15"/>
        <v>5.1040099999999998E-8</v>
      </c>
      <c r="M22" s="10">
        <f t="shared" si="16"/>
        <v>9.8201152399999943E-8</v>
      </c>
      <c r="N22" s="11">
        <f t="shared" si="17"/>
        <v>1.923999999999999</v>
      </c>
      <c r="O22" s="32" t="str">
        <f t="shared" si="3"/>
        <v>+III</v>
      </c>
      <c r="Q22" s="31">
        <f t="shared" si="9"/>
        <v>0.99999990179884757</v>
      </c>
      <c r="R22" s="10">
        <f t="shared" si="10"/>
        <v>0.99999990179884757</v>
      </c>
      <c r="S22" s="10">
        <f t="shared" si="11"/>
        <v>7.5539347999999996E-7</v>
      </c>
      <c r="T22" s="10">
        <f t="shared" si="12"/>
        <v>7.5539347999999996E-7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8"/>
        <v>0</v>
      </c>
      <c r="Y22" s="10">
        <f t="shared" si="13"/>
        <v>9.8201152431975913E-8</v>
      </c>
      <c r="Z22" s="26">
        <f t="shared" si="14"/>
        <v>9.8201152431975913E-8</v>
      </c>
    </row>
    <row r="23" spans="2:26" x14ac:dyDescent="0.25">
      <c r="B23" s="8" t="s">
        <v>117</v>
      </c>
      <c r="C23" s="9">
        <v>5.6</v>
      </c>
      <c r="D23" s="9">
        <v>6.2000000000000011</v>
      </c>
      <c r="E23" s="23" t="s">
        <v>9</v>
      </c>
      <c r="F23" s="8" t="s">
        <v>15</v>
      </c>
      <c r="G23" s="10">
        <v>2.0308000000000001E-14</v>
      </c>
      <c r="H23" s="26">
        <v>2.8349968000000022E-14</v>
      </c>
      <c r="I23" s="8" t="s">
        <v>10</v>
      </c>
      <c r="J23" s="10"/>
      <c r="K23" s="26"/>
      <c r="L23" s="31">
        <f t="shared" si="15"/>
        <v>2.0308000000000001E-14</v>
      </c>
      <c r="M23" s="10">
        <f t="shared" si="16"/>
        <v>2.8349968000000022E-14</v>
      </c>
      <c r="N23" s="11">
        <f t="shared" si="17"/>
        <v>1.396000000000001</v>
      </c>
      <c r="O23" s="32" t="str">
        <f t="shared" si="3"/>
        <v>+III</v>
      </c>
      <c r="Q23" s="31">
        <f t="shared" si="9"/>
        <v>0.99999999999997169</v>
      </c>
      <c r="R23" s="10">
        <f t="shared" si="10"/>
        <v>0.99999999999997169</v>
      </c>
      <c r="S23" s="10">
        <f t="shared" si="11"/>
        <v>3.0055840000000002E-13</v>
      </c>
      <c r="T23" s="10">
        <f t="shared" si="12"/>
        <v>3.0055840000000002E-13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8"/>
        <v>0</v>
      </c>
      <c r="Y23" s="10">
        <f t="shared" si="13"/>
        <v>2.8310687127941492E-14</v>
      </c>
      <c r="Z23" s="26">
        <f t="shared" si="14"/>
        <v>2.8310687127941492E-14</v>
      </c>
    </row>
    <row r="24" spans="2:26" x14ac:dyDescent="0.25">
      <c r="B24" s="8" t="s">
        <v>118</v>
      </c>
      <c r="C24" s="9">
        <v>6.2000000000000011</v>
      </c>
      <c r="D24" s="9">
        <v>7.1</v>
      </c>
      <c r="E24" s="23" t="s">
        <v>9</v>
      </c>
      <c r="F24" s="8" t="s">
        <v>15</v>
      </c>
      <c r="G24" s="10">
        <v>2.0308000000000001E-14</v>
      </c>
      <c r="H24" s="26">
        <v>3.2370951999999979E-14</v>
      </c>
      <c r="I24" s="8" t="s">
        <v>10</v>
      </c>
      <c r="J24" s="10"/>
      <c r="K24" s="26"/>
      <c r="L24" s="31">
        <f t="shared" si="15"/>
        <v>2.0308000000000001E-14</v>
      </c>
      <c r="M24" s="10">
        <f t="shared" si="16"/>
        <v>3.2370951999999979E-14</v>
      </c>
      <c r="N24" s="11">
        <f t="shared" si="17"/>
        <v>1.593999999999999</v>
      </c>
      <c r="O24" s="32" t="str">
        <f t="shared" si="3"/>
        <v>+III</v>
      </c>
      <c r="Q24" s="31">
        <f t="shared" si="9"/>
        <v>0.99999999999996758</v>
      </c>
      <c r="R24" s="10">
        <f t="shared" si="10"/>
        <v>0.99999999999996758</v>
      </c>
      <c r="S24" s="10">
        <f t="shared" si="11"/>
        <v>3.0055840000000002E-13</v>
      </c>
      <c r="T24" s="10">
        <f t="shared" si="12"/>
        <v>3.0055840000000002E-13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8"/>
        <v>0</v>
      </c>
      <c r="Y24" s="10">
        <f t="shared" si="13"/>
        <v>3.2418512319054571E-14</v>
      </c>
      <c r="Z24" s="26">
        <f t="shared" si="14"/>
        <v>3.2418512319054571E-14</v>
      </c>
    </row>
    <row r="25" spans="2:26" x14ac:dyDescent="0.25">
      <c r="B25" s="8" t="s">
        <v>119</v>
      </c>
      <c r="C25" s="9">
        <v>7.1</v>
      </c>
      <c r="D25" s="9">
        <v>7.35</v>
      </c>
      <c r="E25" s="23" t="s">
        <v>9</v>
      </c>
      <c r="F25" s="8" t="s">
        <v>15</v>
      </c>
      <c r="G25" s="10">
        <v>1.3354300000000001E-10</v>
      </c>
      <c r="H25" s="26">
        <v>1.5557759500000001E-10</v>
      </c>
      <c r="I25" s="8" t="s">
        <v>10</v>
      </c>
      <c r="J25" s="10"/>
      <c r="K25" s="26"/>
      <c r="L25" s="31">
        <f t="shared" si="15"/>
        <v>1.3354300000000001E-10</v>
      </c>
      <c r="M25" s="10">
        <f t="shared" si="16"/>
        <v>1.5557759500000001E-10</v>
      </c>
      <c r="N25" s="11">
        <f t="shared" si="17"/>
        <v>1.165</v>
      </c>
      <c r="O25" s="32" t="str">
        <f t="shared" si="3"/>
        <v>+III</v>
      </c>
      <c r="Q25" s="31">
        <f t="shared" si="9"/>
        <v>0.99999999984442245</v>
      </c>
      <c r="R25" s="10">
        <f t="shared" si="10"/>
        <v>0.99999999984442245</v>
      </c>
      <c r="S25" s="10">
        <f t="shared" si="11"/>
        <v>1.9764364000000004E-9</v>
      </c>
      <c r="T25" s="10">
        <f t="shared" si="12"/>
        <v>1.9764364000000004E-9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8"/>
        <v>0</v>
      </c>
      <c r="Y25" s="10">
        <f t="shared" si="13"/>
        <v>1.5557755084216751E-10</v>
      </c>
      <c r="Z25" s="26">
        <f t="shared" si="14"/>
        <v>1.5557755084216751E-10</v>
      </c>
    </row>
    <row r="26" spans="2:26" x14ac:dyDescent="0.25">
      <c r="B26" s="8" t="s">
        <v>120</v>
      </c>
      <c r="C26" s="9">
        <v>7.35</v>
      </c>
      <c r="D26" s="9">
        <v>7.7000000000000011</v>
      </c>
      <c r="E26" s="23" t="s">
        <v>9</v>
      </c>
      <c r="F26" s="8" t="s">
        <v>15</v>
      </c>
      <c r="G26" s="10">
        <v>5.0881399999999997E-7</v>
      </c>
      <c r="H26" s="26">
        <v>6.2635003400000049E-7</v>
      </c>
      <c r="I26" s="8" t="s">
        <v>10</v>
      </c>
      <c r="J26" s="10"/>
      <c r="K26" s="26"/>
      <c r="L26" s="31">
        <f t="shared" si="15"/>
        <v>5.0881399999999997E-7</v>
      </c>
      <c r="M26" s="10">
        <f t="shared" si="16"/>
        <v>6.2635003400000049E-7</v>
      </c>
      <c r="N26" s="11">
        <f t="shared" si="17"/>
        <v>1.231000000000001</v>
      </c>
      <c r="O26" s="32" t="str">
        <f t="shared" si="3"/>
        <v>+II</v>
      </c>
      <c r="Q26" s="31">
        <f t="shared" si="9"/>
        <v>0.99999937364996605</v>
      </c>
      <c r="R26" s="10">
        <f t="shared" si="10"/>
        <v>0.99999937364996605</v>
      </c>
      <c r="S26" s="10">
        <f t="shared" si="11"/>
        <v>7.5304472E-6</v>
      </c>
      <c r="T26" s="10">
        <f t="shared" si="12"/>
        <v>7.5304472E-6</v>
      </c>
      <c r="U26" s="9">
        <f t="array" ref="U26">MIN(IF('Normen en duidingsklassen'!$E$13:$E$20&gt;=$M26,'Normen en duidingsklassen'!$E$13:$E$20))</f>
        <v>3.3333333333333333E-6</v>
      </c>
      <c r="V26" s="9">
        <f>IFERROR(MATCH($U26,'Normen en duidingsklassen'!$E$13:$E$20,0),1)</f>
        <v>2</v>
      </c>
      <c r="W26" s="9" t="str">
        <f>INDEX('Normen en duidingsklassen'!$D$13:$D$20,V26)</f>
        <v>+II</v>
      </c>
      <c r="X26" s="9" t="b">
        <f t="shared" si="8"/>
        <v>0</v>
      </c>
      <c r="Y26" s="10">
        <f t="shared" si="13"/>
        <v>6.2635003394984068E-7</v>
      </c>
      <c r="Z26" s="26">
        <f t="shared" si="14"/>
        <v>6.2635003394984068E-7</v>
      </c>
    </row>
    <row r="27" spans="2:26" x14ac:dyDescent="0.25">
      <c r="B27" s="8" t="s">
        <v>121</v>
      </c>
      <c r="C27" s="9">
        <v>7.7000000000000011</v>
      </c>
      <c r="D27" s="9">
        <v>9.4</v>
      </c>
      <c r="E27" s="23" t="s">
        <v>9</v>
      </c>
      <c r="F27" s="8" t="s">
        <v>15</v>
      </c>
      <c r="G27" s="10">
        <v>5.0881399999999997E-7</v>
      </c>
      <c r="H27" s="26">
        <v>1.0797033079999999E-6</v>
      </c>
      <c r="I27" s="8" t="s">
        <v>10</v>
      </c>
      <c r="J27" s="10"/>
      <c r="K27" s="26"/>
      <c r="L27" s="31">
        <f t="shared" si="15"/>
        <v>5.0881399999999997E-7</v>
      </c>
      <c r="M27" s="10">
        <f t="shared" si="16"/>
        <v>1.0797033079999999E-6</v>
      </c>
      <c r="N27" s="11">
        <f t="shared" si="17"/>
        <v>2.1219999999999999</v>
      </c>
      <c r="O27" s="32" t="str">
        <f t="shared" si="3"/>
        <v>+II</v>
      </c>
      <c r="Q27" s="31">
        <f t="shared" si="9"/>
        <v>0.99999892029669202</v>
      </c>
      <c r="R27" s="10">
        <f t="shared" si="10"/>
        <v>0.99999892029669202</v>
      </c>
      <c r="S27" s="10">
        <f t="shared" si="11"/>
        <v>7.5304472E-6</v>
      </c>
      <c r="T27" s="10">
        <f t="shared" si="12"/>
        <v>7.5304472E-6</v>
      </c>
      <c r="U27" s="9">
        <f t="array" ref="U27">MIN(IF('Normen en duidingsklassen'!$E$13:$E$20&gt;=$M27,'Normen en duidingsklassen'!$E$13:$E$20))</f>
        <v>3.3333333333333333E-6</v>
      </c>
      <c r="V27" s="9">
        <f>IFERROR(MATCH($U27,'Normen en duidingsklassen'!$E$13:$E$20,0),1)</f>
        <v>2</v>
      </c>
      <c r="W27" s="9" t="str">
        <f>INDEX('Normen en duidingsklassen'!$D$13:$D$20,V27)</f>
        <v>+II</v>
      </c>
      <c r="X27" s="9" t="b">
        <f t="shared" si="8"/>
        <v>0</v>
      </c>
      <c r="Y27" s="10">
        <f t="shared" si="13"/>
        <v>1.0797033079823493E-6</v>
      </c>
      <c r="Z27" s="26">
        <f t="shared" si="14"/>
        <v>1.0797033079823493E-6</v>
      </c>
    </row>
    <row r="28" spans="2:26" x14ac:dyDescent="0.25">
      <c r="B28" s="8" t="s">
        <v>122</v>
      </c>
      <c r="C28" s="9">
        <v>9.4</v>
      </c>
      <c r="D28" s="9">
        <v>10.6</v>
      </c>
      <c r="E28" s="23" t="s">
        <v>9</v>
      </c>
      <c r="F28" s="8" t="s">
        <v>15</v>
      </c>
      <c r="G28" s="10">
        <v>7.4828499999999999E-6</v>
      </c>
      <c r="H28" s="26">
        <v>1.3409267199999997E-5</v>
      </c>
      <c r="I28" s="8" t="s">
        <v>10</v>
      </c>
      <c r="J28" s="10"/>
      <c r="K28" s="26"/>
      <c r="L28" s="31">
        <f t="shared" si="15"/>
        <v>7.4828499999999999E-6</v>
      </c>
      <c r="M28" s="10">
        <f t="shared" si="16"/>
        <v>1.3409267199999997E-5</v>
      </c>
      <c r="N28" s="11">
        <f t="shared" si="17"/>
        <v>1.7919999999999996</v>
      </c>
      <c r="O28" s="32" t="str">
        <f t="shared" si="3"/>
        <v>+I</v>
      </c>
      <c r="Q28" s="31">
        <f t="shared" si="9"/>
        <v>0.99998659073280005</v>
      </c>
      <c r="R28" s="10">
        <f t="shared" si="10"/>
        <v>0.99998659073280005</v>
      </c>
      <c r="S28" s="10">
        <f t="shared" si="11"/>
        <v>1.1074618E-4</v>
      </c>
      <c r="T28" s="10">
        <f t="shared" si="12"/>
        <v>1.1074618E-4</v>
      </c>
      <c r="U28" s="9">
        <f t="array" ref="U28">MIN(IF('Normen en duidingsklassen'!$E$13:$E$20&gt;=$M28,'Normen en duidingsklassen'!$E$13:$E$20))</f>
        <v>3.3333333333333335E-5</v>
      </c>
      <c r="V28" s="9">
        <f>IFERROR(MATCH($U28,'Normen en duidingsklassen'!$E$13:$E$20,0),1)</f>
        <v>3</v>
      </c>
      <c r="W28" s="9" t="str">
        <f>INDEX('Normen en duidingsklassen'!$D$13:$D$20,V28)</f>
        <v>+I</v>
      </c>
      <c r="X28" s="9" t="b">
        <f t="shared" si="8"/>
        <v>0</v>
      </c>
      <c r="Y28" s="10">
        <f t="shared" si="13"/>
        <v>1.3409267199948616E-5</v>
      </c>
      <c r="Z28" s="26">
        <f t="shared" si="14"/>
        <v>1.3409267199948616E-5</v>
      </c>
    </row>
    <row r="29" spans="2:26" x14ac:dyDescent="0.25">
      <c r="B29" s="8" t="s">
        <v>123</v>
      </c>
      <c r="C29" s="9">
        <v>10.6</v>
      </c>
      <c r="D29" s="9">
        <v>12.500000000000002</v>
      </c>
      <c r="E29" s="23" t="s">
        <v>9</v>
      </c>
      <c r="F29" s="8" t="s">
        <v>15</v>
      </c>
      <c r="G29" s="10">
        <v>1.28899E-6</v>
      </c>
      <c r="H29" s="26">
        <v>2.9053834600000016E-6</v>
      </c>
      <c r="I29" s="8" t="s">
        <v>10</v>
      </c>
      <c r="J29" s="10"/>
      <c r="K29" s="26"/>
      <c r="L29" s="31">
        <f t="shared" si="15"/>
        <v>1.28899E-6</v>
      </c>
      <c r="M29" s="10">
        <f t="shared" si="16"/>
        <v>2.9053834600000016E-6</v>
      </c>
      <c r="N29" s="11">
        <f t="shared" si="17"/>
        <v>2.2540000000000013</v>
      </c>
      <c r="O29" s="32" t="str">
        <f t="shared" si="3"/>
        <v>+II</v>
      </c>
      <c r="Q29" s="31">
        <f t="shared" si="9"/>
        <v>0.99999709461653996</v>
      </c>
      <c r="R29" s="10">
        <f t="shared" si="10"/>
        <v>0.99999709461653996</v>
      </c>
      <c r="S29" s="10">
        <f t="shared" si="11"/>
        <v>1.9077051999999999E-5</v>
      </c>
      <c r="T29" s="10">
        <f t="shared" si="12"/>
        <v>1.9077051999999999E-5</v>
      </c>
      <c r="U29" s="9">
        <f t="array" ref="U29">MIN(IF('Normen en duidingsklassen'!$E$13:$E$20&gt;=$M29,'Normen en duidingsklassen'!$E$13:$E$20))</f>
        <v>3.3333333333333333E-6</v>
      </c>
      <c r="V29" s="9">
        <f>IFERROR(MATCH($U29,'Normen en duidingsklassen'!$E$13:$E$20,0),1)</f>
        <v>2</v>
      </c>
      <c r="W29" s="9" t="str">
        <f>INDEX('Normen en duidingsklassen'!$D$13:$D$20,V29)</f>
        <v>+II</v>
      </c>
      <c r="X29" s="9" t="b">
        <f t="shared" si="8"/>
        <v>0</v>
      </c>
      <c r="Y29" s="10">
        <f t="shared" si="13"/>
        <v>2.9053834600389905E-6</v>
      </c>
      <c r="Z29" s="26">
        <f t="shared" si="14"/>
        <v>2.9053834600389905E-6</v>
      </c>
    </row>
    <row r="30" spans="2:26" x14ac:dyDescent="0.25">
      <c r="B30" s="8" t="s">
        <v>124</v>
      </c>
      <c r="C30" s="9">
        <v>12.500000000000002</v>
      </c>
      <c r="D30" s="9">
        <v>14.200000000000001</v>
      </c>
      <c r="E30" s="23" t="s">
        <v>9</v>
      </c>
      <c r="F30" s="8" t="s">
        <v>15</v>
      </c>
      <c r="G30" s="10">
        <v>2.3694000000000001E-16</v>
      </c>
      <c r="H30" s="26">
        <v>5.0278668000000004E-16</v>
      </c>
      <c r="I30" s="8" t="s">
        <v>10</v>
      </c>
      <c r="J30" s="10"/>
      <c r="K30" s="26"/>
      <c r="L30" s="31">
        <f t="shared" si="15"/>
        <v>2.3694000000000001E-16</v>
      </c>
      <c r="M30" s="10">
        <f t="shared" si="16"/>
        <v>5.0278668000000004E-16</v>
      </c>
      <c r="N30" s="11">
        <f t="shared" si="17"/>
        <v>2.1219999999999999</v>
      </c>
      <c r="O30" s="32" t="str">
        <f t="shared" si="3"/>
        <v>+III</v>
      </c>
      <c r="Q30" s="31">
        <f t="shared" si="9"/>
        <v>0.99999999999999944</v>
      </c>
      <c r="R30" s="10">
        <f t="shared" si="10"/>
        <v>0.99999999999999944</v>
      </c>
      <c r="S30" s="10">
        <f t="shared" si="11"/>
        <v>3.5067120000000002E-15</v>
      </c>
      <c r="T30" s="10">
        <f t="shared" si="12"/>
        <v>3.5067120000000002E-15</v>
      </c>
      <c r="U30" s="9">
        <f t="array" ref="U30">MIN(IF('Normen en duidingsklassen'!$E$13:$E$20&gt;=$M30,'Normen en duidingsklassen'!$E$13:$E$20))</f>
        <v>3.3333333333333335E-7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8"/>
        <v>0</v>
      </c>
      <c r="Y30" s="10">
        <f t="shared" si="13"/>
        <v>0</v>
      </c>
      <c r="Z30" s="26">
        <f t="shared" si="14"/>
        <v>0</v>
      </c>
    </row>
    <row r="31" spans="2:26" x14ac:dyDescent="0.25">
      <c r="B31" s="8" t="s">
        <v>125</v>
      </c>
      <c r="C31" s="9">
        <v>14.200000000000001</v>
      </c>
      <c r="D31" s="9">
        <v>14.799999999999999</v>
      </c>
      <c r="E31" s="23" t="s">
        <v>9</v>
      </c>
      <c r="F31" s="8" t="s">
        <v>15</v>
      </c>
      <c r="G31" s="10">
        <v>2.2662400000000001E-3</v>
      </c>
      <c r="H31" s="26">
        <v>3.1636710399999971E-3</v>
      </c>
      <c r="I31" s="8" t="s">
        <v>10</v>
      </c>
      <c r="J31" s="10"/>
      <c r="K31" s="26"/>
      <c r="L31" s="31">
        <f t="shared" si="15"/>
        <v>2.2662400000000001E-3</v>
      </c>
      <c r="M31" s="10">
        <f t="shared" si="16"/>
        <v>3.1636710399999971E-3</v>
      </c>
      <c r="N31" s="11">
        <f t="shared" si="17"/>
        <v>1.3959999999999986</v>
      </c>
      <c r="O31" s="32" t="str">
        <f t="shared" si="3"/>
        <v>-II</v>
      </c>
      <c r="Q31" s="31">
        <f t="shared" si="9"/>
        <v>0.99683632895999996</v>
      </c>
      <c r="R31" s="10">
        <f t="shared" si="10"/>
        <v>0.99683632895999996</v>
      </c>
      <c r="S31" s="10">
        <f t="shared" si="11"/>
        <v>3.3540352000000002E-2</v>
      </c>
      <c r="T31" s="10">
        <f t="shared" si="12"/>
        <v>3.3540352000000002E-2</v>
      </c>
      <c r="U31" s="9">
        <f t="array" ref="U31">MIN(IF('Normen en duidingsklassen'!$E$13:$E$20&gt;=$M31,'Normen en duidingsklassen'!$E$13:$E$20))</f>
        <v>0.01</v>
      </c>
      <c r="V31" s="9">
        <f>IFERROR(MATCH($U31,'Normen en duidingsklassen'!$E$13:$E$20,0),1)</f>
        <v>6</v>
      </c>
      <c r="W31" s="9" t="str">
        <f>INDEX('Normen en duidingsklassen'!$D$13:$D$20,V31)</f>
        <v>-II</v>
      </c>
      <c r="X31" s="9" t="b">
        <f t="shared" si="8"/>
        <v>0</v>
      </c>
      <c r="Y31" s="10">
        <f t="shared" si="13"/>
        <v>3.1636710400000378E-3</v>
      </c>
      <c r="Z31" s="26">
        <f t="shared" si="14"/>
        <v>3.1636710400000378E-3</v>
      </c>
    </row>
    <row r="32" spans="2:26" x14ac:dyDescent="0.25">
      <c r="B32" s="8" t="s">
        <v>126</v>
      </c>
      <c r="C32" s="9">
        <v>14.799999999999999</v>
      </c>
      <c r="D32" s="9">
        <v>16</v>
      </c>
      <c r="E32" s="23" t="s">
        <v>9</v>
      </c>
      <c r="F32" s="8" t="s">
        <v>15</v>
      </c>
      <c r="G32" s="10">
        <v>2.9268299999999999E-5</v>
      </c>
      <c r="H32" s="26">
        <v>5.2448793600000016E-5</v>
      </c>
      <c r="I32" s="8" t="s">
        <v>10</v>
      </c>
      <c r="J32" s="10"/>
      <c r="K32" s="26"/>
      <c r="L32" s="31">
        <f t="shared" si="15"/>
        <v>2.9268299999999999E-5</v>
      </c>
      <c r="M32" s="10">
        <f t="shared" si="16"/>
        <v>5.2448793600000016E-5</v>
      </c>
      <c r="N32" s="11">
        <f t="shared" si="17"/>
        <v>1.7920000000000007</v>
      </c>
      <c r="O32" s="32" t="str">
        <f t="shared" si="3"/>
        <v>+0</v>
      </c>
      <c r="Q32" s="31">
        <f t="shared" si="9"/>
        <v>0.9999475512064</v>
      </c>
      <c r="R32" s="10">
        <f t="shared" si="10"/>
        <v>0.9999475512064</v>
      </c>
      <c r="S32" s="10">
        <f t="shared" si="11"/>
        <v>4.3317083999999998E-4</v>
      </c>
      <c r="T32" s="10">
        <f t="shared" si="12"/>
        <v>4.3317083999999998E-4</v>
      </c>
      <c r="U32" s="9">
        <f t="array" ref="U32">MIN(IF('Normen en duidingsklassen'!$E$13:$E$20&gt;=$M32,'Normen en duidingsklassen'!$E$13:$E$20))</f>
        <v>3.3333333333333332E-4</v>
      </c>
      <c r="V32" s="9">
        <f>IFERROR(MATCH($U32,'Normen en duidingsklassen'!$E$13:$E$20,0),1)</f>
        <v>4</v>
      </c>
      <c r="W32" s="9" t="str">
        <f>INDEX('Normen en duidingsklassen'!$D$13:$D$20,V32)</f>
        <v>+0</v>
      </c>
      <c r="X32" s="9" t="b">
        <f t="shared" si="8"/>
        <v>0</v>
      </c>
      <c r="Y32" s="10">
        <f t="shared" si="13"/>
        <v>5.2448793600001764E-5</v>
      </c>
      <c r="Z32" s="26">
        <f t="shared" si="14"/>
        <v>5.2448793600001764E-5</v>
      </c>
    </row>
    <row r="33" spans="2:26" x14ac:dyDescent="0.25">
      <c r="B33" s="8" t="s">
        <v>127</v>
      </c>
      <c r="C33" s="9">
        <v>16</v>
      </c>
      <c r="D33" s="9">
        <v>17.200000000000003</v>
      </c>
      <c r="E33" s="23" t="s">
        <v>9</v>
      </c>
      <c r="F33" s="8" t="s">
        <v>15</v>
      </c>
      <c r="G33" s="10">
        <v>1.04421E-4</v>
      </c>
      <c r="H33" s="26">
        <v>1.8712243200000021E-4</v>
      </c>
      <c r="I33" s="8" t="s">
        <v>10</v>
      </c>
      <c r="J33" s="10"/>
      <c r="K33" s="26"/>
      <c r="L33" s="31">
        <f t="shared" si="15"/>
        <v>1.04421E-4</v>
      </c>
      <c r="M33" s="10">
        <f t="shared" si="16"/>
        <v>1.8712243200000021E-4</v>
      </c>
      <c r="N33" s="11">
        <f t="shared" si="17"/>
        <v>1.792000000000002</v>
      </c>
      <c r="O33" s="32" t="str">
        <f t="shared" si="3"/>
        <v>+0</v>
      </c>
      <c r="Q33" s="31">
        <f t="shared" si="9"/>
        <v>0.99981287756799997</v>
      </c>
      <c r="R33" s="10">
        <f t="shared" si="10"/>
        <v>0.99981287756799997</v>
      </c>
      <c r="S33" s="10">
        <f t="shared" si="11"/>
        <v>1.5454308E-3</v>
      </c>
      <c r="T33" s="10">
        <f t="shared" si="12"/>
        <v>1.5454308E-3</v>
      </c>
      <c r="U33" s="9">
        <f t="array" ref="U33">MIN(IF('Normen en duidingsklassen'!$E$13:$E$20&gt;=$M33,'Normen en duidingsklassen'!$E$13:$E$20))</f>
        <v>3.3333333333333332E-4</v>
      </c>
      <c r="V33" s="9">
        <f>IFERROR(MATCH($U33,'Normen en duidingsklassen'!$E$13:$E$20,0),1)</f>
        <v>4</v>
      </c>
      <c r="W33" s="9" t="str">
        <f>INDEX('Normen en duidingsklassen'!$D$13:$D$20,V33)</f>
        <v>+0</v>
      </c>
      <c r="X33" s="9" t="b">
        <f t="shared" si="8"/>
        <v>0</v>
      </c>
      <c r="Y33" s="10">
        <f t="shared" si="13"/>
        <v>1.8712243200003087E-4</v>
      </c>
      <c r="Z33" s="26">
        <f t="shared" si="14"/>
        <v>1.8712243200003087E-4</v>
      </c>
    </row>
    <row r="34" spans="2:26" x14ac:dyDescent="0.25">
      <c r="B34" s="8" t="s">
        <v>128</v>
      </c>
      <c r="C34" s="9">
        <v>17.200000000000003</v>
      </c>
      <c r="D34" s="9">
        <v>17.5</v>
      </c>
      <c r="E34" s="23" t="s">
        <v>9</v>
      </c>
      <c r="F34" s="8" t="s">
        <v>15</v>
      </c>
      <c r="G34" s="10">
        <v>4.2587799999999998E-4</v>
      </c>
      <c r="H34" s="26">
        <v>5.1020184399999918E-4</v>
      </c>
      <c r="I34" s="8" t="s">
        <v>10</v>
      </c>
      <c r="J34" s="10"/>
      <c r="K34" s="26"/>
      <c r="L34" s="31">
        <f t="shared" si="15"/>
        <v>4.2587799999999998E-4</v>
      </c>
      <c r="M34" s="10">
        <f t="shared" si="16"/>
        <v>5.1020184399999918E-4</v>
      </c>
      <c r="N34" s="11">
        <f t="shared" si="17"/>
        <v>1.1979999999999982</v>
      </c>
      <c r="O34" s="32" t="str">
        <f t="shared" si="3"/>
        <v>-I</v>
      </c>
      <c r="Q34" s="31">
        <f t="shared" si="9"/>
        <v>0.99948979815600003</v>
      </c>
      <c r="R34" s="10">
        <f t="shared" si="10"/>
        <v>0.99948979815600003</v>
      </c>
      <c r="S34" s="10">
        <f t="shared" si="11"/>
        <v>6.3029944000000003E-3</v>
      </c>
      <c r="T34" s="10">
        <f t="shared" si="12"/>
        <v>6.3029944000000003E-3</v>
      </c>
      <c r="U34" s="9">
        <f t="array" ref="U34">MIN(IF('Normen en duidingsklassen'!$E$13:$E$20&gt;=$M34,'Normen en duidingsklassen'!$E$13:$E$20))</f>
        <v>1E-3</v>
      </c>
      <c r="V34" s="9">
        <f>IFERROR(MATCH($U34,'Normen en duidingsklassen'!$E$13:$E$20,0),1)</f>
        <v>5</v>
      </c>
      <c r="W34" s="9" t="str">
        <f>INDEX('Normen en duidingsklassen'!$D$13:$D$20,V34)</f>
        <v>-I</v>
      </c>
      <c r="X34" s="9" t="b">
        <f t="shared" si="8"/>
        <v>0</v>
      </c>
      <c r="Y34" s="10">
        <f t="shared" si="13"/>
        <v>5.1020184399996893E-4</v>
      </c>
      <c r="Z34" s="26">
        <f t="shared" si="14"/>
        <v>5.1020184399996893E-4</v>
      </c>
    </row>
    <row r="35" spans="2:26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9"/>
      <c r="Y35" s="9"/>
      <c r="Z35" s="12"/>
    </row>
    <row r="36" spans="2:26" x14ac:dyDescent="0.25">
      <c r="B36" s="8"/>
      <c r="C36" s="9"/>
      <c r="D36" s="9"/>
      <c r="E36" s="23"/>
      <c r="F36" s="8"/>
      <c r="G36" s="10"/>
      <c r="H36" s="26"/>
      <c r="I36" s="8"/>
      <c r="J36" s="10"/>
      <c r="K36" s="26"/>
      <c r="L36" s="31"/>
      <c r="M36" s="10"/>
      <c r="N36" s="11"/>
      <c r="O36" s="32"/>
      <c r="Q36" s="31"/>
      <c r="R36" s="10"/>
      <c r="S36" s="10"/>
      <c r="T36" s="10"/>
      <c r="U36" s="9"/>
      <c r="V36" s="9"/>
      <c r="W36" s="9"/>
      <c r="X36" s="9"/>
      <c r="Y36" s="9"/>
      <c r="Z36" s="12"/>
    </row>
    <row r="37" spans="2:26" x14ac:dyDescent="0.25">
      <c r="B37" s="8"/>
      <c r="C37" s="9"/>
      <c r="D37" s="9"/>
      <c r="E37" s="23"/>
      <c r="F37" s="8"/>
      <c r="G37" s="10"/>
      <c r="H37" s="26"/>
      <c r="I37" s="8"/>
      <c r="J37" s="10"/>
      <c r="K37" s="26"/>
      <c r="L37" s="31"/>
      <c r="M37" s="10"/>
      <c r="N37" s="11"/>
      <c r="O37" s="32"/>
      <c r="Q37" s="31"/>
      <c r="R37" s="10"/>
      <c r="S37" s="10"/>
      <c r="T37" s="10"/>
      <c r="U37" s="9"/>
      <c r="V37" s="9"/>
      <c r="W37" s="9"/>
      <c r="X37" s="9"/>
      <c r="Y37" s="9"/>
      <c r="Z37" s="12"/>
    </row>
    <row r="38" spans="2:26" x14ac:dyDescent="0.25">
      <c r="B38" s="8"/>
      <c r="C38" s="9"/>
      <c r="D38" s="9"/>
      <c r="E38" s="23"/>
      <c r="F38" s="8"/>
      <c r="G38" s="10"/>
      <c r="H38" s="26"/>
      <c r="I38" s="8"/>
      <c r="J38" s="10"/>
      <c r="K38" s="26"/>
      <c r="L38" s="31"/>
      <c r="M38" s="10"/>
      <c r="N38" s="11"/>
      <c r="O38" s="32"/>
      <c r="Q38" s="31"/>
      <c r="R38" s="10"/>
      <c r="S38" s="10"/>
      <c r="T38" s="10"/>
      <c r="U38" s="9"/>
      <c r="V38" s="9"/>
      <c r="W38" s="9"/>
      <c r="X38" s="9"/>
      <c r="Y38" s="9"/>
      <c r="Z38" s="12"/>
    </row>
    <row r="39" spans="2:26" x14ac:dyDescent="0.25">
      <c r="B39" s="8"/>
      <c r="C39" s="9"/>
      <c r="D39" s="9"/>
      <c r="E39" s="23"/>
      <c r="F39" s="8"/>
      <c r="G39" s="10"/>
      <c r="H39" s="26"/>
      <c r="I39" s="8"/>
      <c r="J39" s="10"/>
      <c r="K39" s="26"/>
      <c r="L39" s="31"/>
      <c r="M39" s="10"/>
      <c r="N39" s="11"/>
      <c r="O39" s="32"/>
      <c r="Q39" s="31"/>
      <c r="R39" s="10"/>
      <c r="S39" s="10"/>
      <c r="T39" s="10"/>
      <c r="U39" s="9"/>
      <c r="V39" s="9"/>
      <c r="W39" s="9"/>
      <c r="X39" s="9"/>
      <c r="Y39" s="9"/>
      <c r="Z39" s="12"/>
    </row>
    <row r="40" spans="2:26" x14ac:dyDescent="0.25">
      <c r="B40" s="8"/>
      <c r="C40" s="9"/>
      <c r="D40" s="9"/>
      <c r="E40" s="23"/>
      <c r="F40" s="8"/>
      <c r="G40" s="10"/>
      <c r="H40" s="26"/>
      <c r="I40" s="8"/>
      <c r="J40" s="10"/>
      <c r="K40" s="26"/>
      <c r="L40" s="31"/>
      <c r="M40" s="10"/>
      <c r="N40" s="11"/>
      <c r="O40" s="32"/>
      <c r="Q40" s="31"/>
      <c r="R40" s="10"/>
      <c r="S40" s="10"/>
      <c r="T40" s="10"/>
      <c r="U40" s="9"/>
      <c r="V40" s="9"/>
      <c r="W40" s="9"/>
      <c r="X40" s="9"/>
      <c r="Y40" s="9"/>
      <c r="Z40" s="12"/>
    </row>
    <row r="41" spans="2:26" ht="15.75" thickBot="1" x14ac:dyDescent="0.3">
      <c r="B41" s="13"/>
      <c r="C41" s="14"/>
      <c r="D41" s="14"/>
      <c r="E41" s="24"/>
      <c r="F41" s="13"/>
      <c r="G41" s="15"/>
      <c r="H41" s="27"/>
      <c r="I41" s="13"/>
      <c r="J41" s="15"/>
      <c r="K41" s="27"/>
      <c r="L41" s="33"/>
      <c r="M41" s="15"/>
      <c r="N41" s="16"/>
      <c r="O41" s="34"/>
      <c r="Q41" s="33"/>
      <c r="R41" s="15"/>
      <c r="S41" s="15"/>
      <c r="T41" s="15"/>
      <c r="U41" s="14"/>
      <c r="V41" s="14"/>
      <c r="W41" s="14"/>
      <c r="X41" s="14"/>
      <c r="Y41" s="14"/>
      <c r="Z41" s="17"/>
    </row>
    <row r="42" spans="2:26" x14ac:dyDescent="0.25">
      <c r="Q42" s="1"/>
    </row>
    <row r="43" spans="2:26" x14ac:dyDescent="0.25">
      <c r="Q43" s="1"/>
    </row>
  </sheetData>
  <conditionalFormatting sqref="G16:H41">
    <cfRule type="expression" dxfId="98" priority="15">
      <formula>IF($E16="Nee",TRUE,FALSE)</formula>
    </cfRule>
  </conditionalFormatting>
  <conditionalFormatting sqref="J16:K19 J28:K33 J25:J27 J23:K24 J20:J22 J36:K36 J34:J35 J38:K41 J37">
    <cfRule type="expression" dxfId="97" priority="14">
      <formula>IF($I16="Nee",TRUE,FALSE)</formula>
    </cfRule>
  </conditionalFormatting>
  <conditionalFormatting sqref="O16:O41">
    <cfRule type="cellIs" dxfId="96" priority="5" operator="equal">
      <formula>"0"</formula>
    </cfRule>
    <cfRule type="cellIs" dxfId="95" priority="6" operator="equal">
      <formula>"ND"</formula>
    </cfRule>
    <cfRule type="cellIs" dxfId="94" priority="7" operator="equal">
      <formula>"D"</formula>
    </cfRule>
  </conditionalFormatting>
  <conditionalFormatting sqref="K25:K27">
    <cfRule type="expression" dxfId="93" priority="4">
      <formula>IF($E25="Nee",TRUE,FALSE)</formula>
    </cfRule>
  </conditionalFormatting>
  <conditionalFormatting sqref="K20:K22">
    <cfRule type="expression" dxfId="92" priority="3">
      <formula>IF($E20="Nee",TRUE,FALSE)</formula>
    </cfRule>
  </conditionalFormatting>
  <conditionalFormatting sqref="K34:K35">
    <cfRule type="expression" dxfId="91" priority="2">
      <formula>IF($E34="Nee",TRUE,FALSE)</formula>
    </cfRule>
  </conditionalFormatting>
  <conditionalFormatting sqref="K37">
    <cfRule type="expression" dxfId="90" priority="1">
      <formula>IF($E37="Nee",TRUE,FALSE)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O16:O41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E42:E57 F16:F41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8"/>
  <sheetViews>
    <sheetView tabSelected="1" workbookViewId="0">
      <selection activeCell="C2" sqref="C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4" max="14" width="18.85546875" bestFit="1" customWidth="1"/>
    <col min="15" max="15" width="14.140625" bestFit="1" customWidth="1"/>
    <col min="16" max="16" width="24.5703125" bestFit="1" customWidth="1"/>
    <col min="17" max="17" width="23" bestFit="1" customWidth="1"/>
    <col min="18" max="18" width="22.7109375" bestFit="1" customWidth="1"/>
    <col min="19" max="19" width="3.140625" bestFit="1" customWidth="1"/>
    <col min="20" max="20" width="22.85546875" bestFit="1" customWidth="1"/>
    <col min="22" max="22" width="17" bestFit="1" customWidth="1"/>
  </cols>
  <sheetData>
    <row r="2" spans="2:22" ht="15.75" thickBot="1" x14ac:dyDescent="0.3">
      <c r="B2" s="2" t="s">
        <v>37</v>
      </c>
      <c r="C2" s="2" t="s">
        <v>187</v>
      </c>
    </row>
    <row r="3" spans="2:22" x14ac:dyDescent="0.25">
      <c r="B3" s="35" t="s">
        <v>33</v>
      </c>
      <c r="C3" s="7">
        <v>2</v>
      </c>
    </row>
    <row r="4" spans="2:22" x14ac:dyDescent="0.25">
      <c r="B4" s="39" t="s">
        <v>170</v>
      </c>
      <c r="C4" s="12" t="s">
        <v>10</v>
      </c>
    </row>
    <row r="5" spans="2:22" x14ac:dyDescent="0.25">
      <c r="B5" s="39" t="s">
        <v>172</v>
      </c>
      <c r="C5" s="12" t="s">
        <v>178</v>
      </c>
    </row>
    <row r="6" spans="2:22" x14ac:dyDescent="0.25">
      <c r="B6" s="39" t="s">
        <v>186</v>
      </c>
      <c r="C6" s="12" t="s">
        <v>9</v>
      </c>
    </row>
    <row r="7" spans="2:22" x14ac:dyDescent="0.25">
      <c r="B7" s="39" t="s">
        <v>36</v>
      </c>
      <c r="C7" s="26">
        <f>IFERROR(IF(C5="P1",1-PRODUCT(M16:M76),MAX(O16:O76)),"GR")</f>
        <v>4.3478260869565214E-6</v>
      </c>
    </row>
    <row r="8" spans="2:22" x14ac:dyDescent="0.25">
      <c r="B8" s="39" t="s">
        <v>30</v>
      </c>
      <c r="C8" s="26">
        <f>IF(C5="P1",1-PRODUCT(N16:N76),MAX(P16:P76))</f>
        <v>4.3478260869565214E-6</v>
      </c>
    </row>
    <row r="9" spans="2:22" x14ac:dyDescent="0.25">
      <c r="B9" s="39" t="s">
        <v>21</v>
      </c>
      <c r="C9" s="26">
        <f>IFERROR(MAX(U16:U76),"GR")</f>
        <v>2.1739130434683673E-6</v>
      </c>
    </row>
    <row r="10" spans="2:22" x14ac:dyDescent="0.25">
      <c r="B10" s="39" t="s">
        <v>174</v>
      </c>
      <c r="C10" s="26">
        <f>MAX(V16:V76)</f>
        <v>2.1739130434683673E-6</v>
      </c>
    </row>
    <row r="11" spans="2:22" x14ac:dyDescent="0.25">
      <c r="B11" s="39" t="s">
        <v>28</v>
      </c>
      <c r="C11" s="26">
        <f>IFERROR(1-PRODUCT(M16:M76),"GR")</f>
        <v>1.6173791609674915E-5</v>
      </c>
    </row>
    <row r="12" spans="2:22" ht="15.75" thickBot="1" x14ac:dyDescent="0.3">
      <c r="B12" s="40" t="s">
        <v>175</v>
      </c>
      <c r="C12" s="27">
        <f>1-PRODUCT(N16:N76)</f>
        <v>1.6173791609674915E-5</v>
      </c>
    </row>
    <row r="14" spans="2:22" ht="15.75" thickBot="1" x14ac:dyDescent="0.3">
      <c r="M14" t="s">
        <v>53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12</v>
      </c>
      <c r="G15" s="20" t="s">
        <v>5</v>
      </c>
      <c r="H15" s="18" t="s">
        <v>11</v>
      </c>
      <c r="I15" s="20" t="s">
        <v>7</v>
      </c>
      <c r="J15" s="19" t="s">
        <v>17</v>
      </c>
      <c r="K15" s="20" t="s">
        <v>19</v>
      </c>
      <c r="L15" s="2"/>
      <c r="M15" s="35" t="s">
        <v>31</v>
      </c>
      <c r="N15" s="36" t="s">
        <v>32</v>
      </c>
      <c r="O15" s="36" t="s">
        <v>68</v>
      </c>
      <c r="P15" s="36" t="s">
        <v>69</v>
      </c>
      <c r="Q15" s="37" t="s">
        <v>50</v>
      </c>
      <c r="R15" s="37" t="s">
        <v>51</v>
      </c>
      <c r="S15" s="4"/>
      <c r="T15" s="37" t="s">
        <v>52</v>
      </c>
      <c r="U15" s="37" t="s">
        <v>176</v>
      </c>
      <c r="V15" s="38" t="s">
        <v>177</v>
      </c>
    </row>
    <row r="16" spans="2:22" x14ac:dyDescent="0.25">
      <c r="B16" s="3" t="s">
        <v>129</v>
      </c>
      <c r="C16" s="4">
        <v>0</v>
      </c>
      <c r="D16" s="4">
        <v>1.7000000000000011</v>
      </c>
      <c r="E16" s="22" t="s">
        <v>9</v>
      </c>
      <c r="F16" s="3" t="s">
        <v>15</v>
      </c>
      <c r="G16" s="25">
        <v>9.9999999999999995E-7</v>
      </c>
      <c r="H16" s="3" t="s">
        <v>10</v>
      </c>
      <c r="I16" s="25"/>
      <c r="J16" s="5">
        <f t="shared" ref="J16:J17" si="0">IF($E16="Nee",0,IF(H16="Ja",IF(ISNUMBER(I16),I16,"-"),IF(ISNUMBER(G16),G16,"-")))</f>
        <v>9.9999999999999995E-7</v>
      </c>
      <c r="K16" s="30" t="str">
        <f t="shared" ref="K16:K32" si="1">IF($E16="Nee","NR",IF(ISNUMBER($J16),S16,IF($T16,"D","ND")))</f>
        <v>+II</v>
      </c>
      <c r="M16" s="31">
        <f t="shared" ref="M16" si="2">IF(AND(F16="Geen faalkans",H16="Nee"),1,1-J16)</f>
        <v>0.99999899999999997</v>
      </c>
      <c r="N16" s="10">
        <f t="shared" ref="N16" si="3">IF(J16="-",1,M16)</f>
        <v>0.99999899999999997</v>
      </c>
      <c r="O16" s="10">
        <f t="shared" ref="O16" si="4">IF(AND(F16="Geen faalkans",H16="Nee"),0,J16*$C$3)</f>
        <v>1.9999999999999999E-6</v>
      </c>
      <c r="P16" s="10">
        <f t="shared" ref="P16" si="5">IF(J16="-",0,O16)</f>
        <v>1.9999999999999999E-6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ref="T16:T32" si="6">IF($E16="Ja",IF($H16="Ja",NOT(ISNUMBER($I16)),FALSE),FALSE)</f>
        <v>0</v>
      </c>
      <c r="U16" s="10">
        <f>1-M16</f>
        <v>1.0000000000287557E-6</v>
      </c>
      <c r="V16" s="26">
        <f>1-N16</f>
        <v>1.0000000000287557E-6</v>
      </c>
    </row>
    <row r="17" spans="2:22" x14ac:dyDescent="0.25">
      <c r="B17" s="8" t="s">
        <v>130</v>
      </c>
      <c r="C17" s="9">
        <v>1.7000000000000011</v>
      </c>
      <c r="D17" s="9">
        <v>3.0999999999999996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0"/>
        <v>9.9999999999999995E-7</v>
      </c>
      <c r="K17" s="32" t="str">
        <f t="shared" si="1"/>
        <v>+II</v>
      </c>
      <c r="M17" s="31">
        <f t="shared" ref="M17:M32" si="7">IF(AND(F17="Geen faalkans",H17="Nee"),1,1-J17)</f>
        <v>0.99999899999999997</v>
      </c>
      <c r="N17" s="10">
        <f t="shared" ref="N17:N32" si="8">IF(J17="-",1,M17)</f>
        <v>0.99999899999999997</v>
      </c>
      <c r="O17" s="10">
        <f t="shared" ref="O17:O32" si="9">IF(AND(F17="Geen faalkans",H17="Nee"),0,J17*$C$3)</f>
        <v>1.9999999999999999E-6</v>
      </c>
      <c r="P17" s="10">
        <f t="shared" ref="P17:P32" si="10">IF(J17="-",0,O17)</f>
        <v>1.9999999999999999E-6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6"/>
        <v>0</v>
      </c>
      <c r="U17" s="10">
        <f t="shared" ref="U17:U32" si="11">1-M17</f>
        <v>1.0000000000287557E-6</v>
      </c>
      <c r="V17" s="26">
        <f t="shared" ref="V17:V32" si="12">1-N17</f>
        <v>1.0000000000287557E-6</v>
      </c>
    </row>
    <row r="18" spans="2:22" x14ac:dyDescent="0.25">
      <c r="B18" s="8" t="s">
        <v>131</v>
      </c>
      <c r="C18" s="9">
        <v>3.0999999999999996</v>
      </c>
      <c r="D18" s="9">
        <v>4.2000000000000011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>IF($E18="Nee",0,IF(H18="Ja",IF(ISNUMBER(I18),I18,"-"),IF(ISNUMBER(G18),G18,"-")))</f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1.9999999999999999E-6</v>
      </c>
      <c r="P18" s="10">
        <f t="shared" si="10"/>
        <v>1.9999999999999999E-6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11"/>
        <v>1.0000000000287557E-6</v>
      </c>
      <c r="V18" s="26">
        <f t="shared" si="12"/>
        <v>1.0000000000287557E-6</v>
      </c>
    </row>
    <row r="19" spans="2:22" x14ac:dyDescent="0.25">
      <c r="B19" s="8" t="s">
        <v>132</v>
      </c>
      <c r="C19" s="9">
        <v>4.2000000000000011</v>
      </c>
      <c r="D19" s="9">
        <v>6.2000000000000011</v>
      </c>
      <c r="E19" s="23" t="s">
        <v>9</v>
      </c>
      <c r="F19" s="8" t="s">
        <v>15</v>
      </c>
      <c r="G19" s="26">
        <v>9.9999999999999995E-7</v>
      </c>
      <c r="H19" s="8" t="s">
        <v>10</v>
      </c>
      <c r="I19" s="26"/>
      <c r="J19" s="10">
        <f t="shared" ref="J19" si="13">IF($E19="Nee",0,IF(H19="Ja",IF(ISNUMBER(I19),I19,"-"),IF(ISNUMBER(G19),G19,"-")))</f>
        <v>9.9999999999999995E-7</v>
      </c>
      <c r="K19" s="32" t="str">
        <f t="shared" si="1"/>
        <v>+II</v>
      </c>
      <c r="M19" s="31">
        <f t="shared" si="7"/>
        <v>0.99999899999999997</v>
      </c>
      <c r="N19" s="10">
        <f t="shared" si="8"/>
        <v>0.99999899999999997</v>
      </c>
      <c r="O19" s="10">
        <f t="shared" si="9"/>
        <v>1.9999999999999999E-6</v>
      </c>
      <c r="P19" s="10">
        <f t="shared" si="10"/>
        <v>1.9999999999999999E-6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9" t="b">
        <f t="shared" si="6"/>
        <v>0</v>
      </c>
      <c r="U19" s="10">
        <f t="shared" si="11"/>
        <v>1.0000000000287557E-6</v>
      </c>
      <c r="V19" s="26">
        <f t="shared" si="12"/>
        <v>1.0000000000287557E-6</v>
      </c>
    </row>
    <row r="20" spans="2:22" x14ac:dyDescent="0.25">
      <c r="B20" s="8" t="s">
        <v>133</v>
      </c>
      <c r="C20" s="9">
        <v>6.2000000000000011</v>
      </c>
      <c r="D20" s="9">
        <v>7.1</v>
      </c>
      <c r="E20" s="23" t="s">
        <v>9</v>
      </c>
      <c r="F20" s="8" t="s">
        <v>15</v>
      </c>
      <c r="G20" s="26">
        <v>2.1739130434782607E-6</v>
      </c>
      <c r="H20" s="8" t="s">
        <v>10</v>
      </c>
      <c r="I20" s="26"/>
      <c r="J20" s="10">
        <f t="shared" ref="J20:J32" si="14">IF($E20="Nee",0,IF(H20="Ja",IF(ISNUMBER(I20),I20,"-"),IF(ISNUMBER(G20),G20,"-")))</f>
        <v>2.1739130434782607E-6</v>
      </c>
      <c r="K20" s="32" t="str">
        <f t="shared" si="1"/>
        <v>+II</v>
      </c>
      <c r="M20" s="31">
        <f t="shared" si="7"/>
        <v>0.99999782608695653</v>
      </c>
      <c r="N20" s="10">
        <f t="shared" si="8"/>
        <v>0.99999782608695653</v>
      </c>
      <c r="O20" s="10">
        <f t="shared" si="9"/>
        <v>4.3478260869565214E-6</v>
      </c>
      <c r="P20" s="10">
        <f t="shared" si="10"/>
        <v>4.3478260869565214E-6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11"/>
        <v>2.1739130434683673E-6</v>
      </c>
      <c r="V20" s="26">
        <f t="shared" si="12"/>
        <v>2.1739130434683673E-6</v>
      </c>
    </row>
    <row r="21" spans="2:22" x14ac:dyDescent="0.25">
      <c r="B21" s="8" t="s">
        <v>134</v>
      </c>
      <c r="C21" s="9">
        <v>7.1</v>
      </c>
      <c r="D21" s="9">
        <v>7.7000000000000011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14"/>
        <v>9.9999999999999995E-7</v>
      </c>
      <c r="K21" s="32" t="str">
        <f t="shared" si="1"/>
        <v>+II</v>
      </c>
      <c r="M21" s="31">
        <f t="shared" si="7"/>
        <v>0.99999899999999997</v>
      </c>
      <c r="N21" s="10">
        <f t="shared" si="8"/>
        <v>0.99999899999999997</v>
      </c>
      <c r="O21" s="10">
        <f t="shared" si="9"/>
        <v>1.9999999999999999E-6</v>
      </c>
      <c r="P21" s="10">
        <f t="shared" si="10"/>
        <v>1.9999999999999999E-6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6"/>
        <v>0</v>
      </c>
      <c r="U21" s="10">
        <f t="shared" si="11"/>
        <v>1.0000000000287557E-6</v>
      </c>
      <c r="V21" s="26">
        <f t="shared" si="12"/>
        <v>1.0000000000287557E-6</v>
      </c>
    </row>
    <row r="22" spans="2:22" x14ac:dyDescent="0.25">
      <c r="B22" s="8" t="s">
        <v>135</v>
      </c>
      <c r="C22" s="9">
        <v>7.7000000000000011</v>
      </c>
      <c r="D22" s="9">
        <v>9.1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4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1.9999999999999999E-6</v>
      </c>
      <c r="P22" s="10">
        <f t="shared" si="10"/>
        <v>1.9999999999999999E-6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11"/>
        <v>1.0000000000287557E-6</v>
      </c>
      <c r="V22" s="26">
        <f t="shared" si="12"/>
        <v>1.0000000000287557E-6</v>
      </c>
    </row>
    <row r="23" spans="2:22" x14ac:dyDescent="0.25">
      <c r="B23" s="8" t="s">
        <v>136</v>
      </c>
      <c r="C23" s="9">
        <v>9.1</v>
      </c>
      <c r="D23" s="9">
        <v>9.4</v>
      </c>
      <c r="E23" s="23" t="s">
        <v>9</v>
      </c>
      <c r="F23" s="8" t="s">
        <v>15</v>
      </c>
      <c r="G23" s="26">
        <v>9.9999999999999995E-7</v>
      </c>
      <c r="H23" s="8" t="s">
        <v>10</v>
      </c>
      <c r="I23" s="26"/>
      <c r="J23" s="10">
        <f t="shared" si="14"/>
        <v>9.9999999999999995E-7</v>
      </c>
      <c r="K23" s="32" t="str">
        <f t="shared" si="1"/>
        <v>+II</v>
      </c>
      <c r="M23" s="31">
        <f t="shared" si="7"/>
        <v>0.99999899999999997</v>
      </c>
      <c r="N23" s="10">
        <f t="shared" si="8"/>
        <v>0.99999899999999997</v>
      </c>
      <c r="O23" s="10">
        <f t="shared" si="9"/>
        <v>1.9999999999999999E-6</v>
      </c>
      <c r="P23" s="10">
        <f t="shared" si="10"/>
        <v>1.9999999999999999E-6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6"/>
        <v>0</v>
      </c>
      <c r="U23" s="10">
        <f t="shared" si="11"/>
        <v>1.0000000000287557E-6</v>
      </c>
      <c r="V23" s="26">
        <f t="shared" si="12"/>
        <v>1.0000000000287557E-6</v>
      </c>
    </row>
    <row r="24" spans="2:22" x14ac:dyDescent="0.25">
      <c r="B24" s="8" t="s">
        <v>137</v>
      </c>
      <c r="C24" s="9">
        <v>9.4</v>
      </c>
      <c r="D24" s="9">
        <v>10.1</v>
      </c>
      <c r="E24" s="23" t="s">
        <v>9</v>
      </c>
      <c r="F24" s="8" t="s">
        <v>14</v>
      </c>
      <c r="G24" s="26"/>
      <c r="H24" s="8" t="s">
        <v>9</v>
      </c>
      <c r="I24" s="26">
        <v>0</v>
      </c>
      <c r="J24" s="10">
        <f t="shared" si="14"/>
        <v>0</v>
      </c>
      <c r="K24" s="32" t="str">
        <f t="shared" si="1"/>
        <v>+III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11"/>
        <v>0</v>
      </c>
      <c r="V24" s="26">
        <f t="shared" si="12"/>
        <v>0</v>
      </c>
    </row>
    <row r="25" spans="2:22" x14ac:dyDescent="0.25">
      <c r="B25" s="8" t="s">
        <v>138</v>
      </c>
      <c r="C25" s="9">
        <v>10.1</v>
      </c>
      <c r="D25" s="9">
        <v>11.799999999999999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si="14"/>
        <v>9.9999999999999995E-7</v>
      </c>
      <c r="K25" s="32" t="str">
        <f t="shared" si="1"/>
        <v>+II</v>
      </c>
      <c r="M25" s="31">
        <f t="shared" si="7"/>
        <v>0.99999899999999997</v>
      </c>
      <c r="N25" s="10">
        <f t="shared" si="8"/>
        <v>0.99999899999999997</v>
      </c>
      <c r="O25" s="10">
        <f t="shared" si="9"/>
        <v>1.9999999999999999E-6</v>
      </c>
      <c r="P25" s="10">
        <f t="shared" si="10"/>
        <v>1.9999999999999999E-6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6"/>
        <v>0</v>
      </c>
      <c r="U25" s="10">
        <f t="shared" si="11"/>
        <v>1.0000000000287557E-6</v>
      </c>
      <c r="V25" s="26">
        <f t="shared" si="12"/>
        <v>1.0000000000287557E-6</v>
      </c>
    </row>
    <row r="26" spans="2:22" x14ac:dyDescent="0.25">
      <c r="B26" s="8" t="s">
        <v>139</v>
      </c>
      <c r="C26" s="9">
        <v>11.799999999999999</v>
      </c>
      <c r="D26" s="9">
        <v>12.500000000000002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14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1.9999999999999999E-6</v>
      </c>
      <c r="P26" s="10">
        <f t="shared" si="10"/>
        <v>1.9999999999999999E-6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6"/>
        <v>0</v>
      </c>
      <c r="U26" s="10">
        <f t="shared" si="11"/>
        <v>1.0000000000287557E-6</v>
      </c>
      <c r="V26" s="26">
        <f t="shared" si="12"/>
        <v>1.0000000000287557E-6</v>
      </c>
    </row>
    <row r="27" spans="2:22" x14ac:dyDescent="0.25">
      <c r="B27" s="8" t="s">
        <v>140</v>
      </c>
      <c r="C27" s="9">
        <v>12.500000000000002</v>
      </c>
      <c r="D27" s="9">
        <v>13.200000000000001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14"/>
        <v>9.9999999999999995E-7</v>
      </c>
      <c r="K27" s="32" t="str">
        <f t="shared" si="1"/>
        <v>+II</v>
      </c>
      <c r="M27" s="31">
        <f t="shared" si="7"/>
        <v>0.99999899999999997</v>
      </c>
      <c r="N27" s="10">
        <f t="shared" si="8"/>
        <v>0.99999899999999997</v>
      </c>
      <c r="O27" s="10">
        <f t="shared" si="9"/>
        <v>1.9999999999999999E-6</v>
      </c>
      <c r="P27" s="10">
        <f t="shared" si="10"/>
        <v>1.9999999999999999E-6</v>
      </c>
      <c r="Q27" s="9">
        <f t="array" ref="Q27">MIN(IF('Normen en duidingsklassen'!$E$13:$E$20&gt;=$J27,'Normen en duidingsklassen'!$E$13:$E$20))</f>
        <v>3.3333333333333333E-6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9" t="b">
        <f t="shared" si="6"/>
        <v>0</v>
      </c>
      <c r="U27" s="10">
        <f t="shared" si="11"/>
        <v>1.0000000000287557E-6</v>
      </c>
      <c r="V27" s="26">
        <f t="shared" si="12"/>
        <v>1.0000000000287557E-6</v>
      </c>
    </row>
    <row r="28" spans="2:22" x14ac:dyDescent="0.25">
      <c r="B28" s="8" t="s">
        <v>141</v>
      </c>
      <c r="C28" s="9">
        <v>13.200000000000001</v>
      </c>
      <c r="D28" s="9">
        <v>14.200000000000001</v>
      </c>
      <c r="E28" s="23" t="s">
        <v>9</v>
      </c>
      <c r="F28" s="8" t="s">
        <v>14</v>
      </c>
      <c r="G28" s="26"/>
      <c r="H28" s="8" t="s">
        <v>9</v>
      </c>
      <c r="I28" s="26">
        <v>0</v>
      </c>
      <c r="J28" s="10">
        <f t="shared" si="14"/>
        <v>0</v>
      </c>
      <c r="K28" s="32" t="str">
        <f t="shared" si="1"/>
        <v>+III</v>
      </c>
      <c r="M28" s="31">
        <f t="shared" si="7"/>
        <v>1</v>
      </c>
      <c r="N28" s="10">
        <f t="shared" si="8"/>
        <v>1</v>
      </c>
      <c r="O28" s="10">
        <f t="shared" si="9"/>
        <v>0</v>
      </c>
      <c r="P28" s="10">
        <f t="shared" si="10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6"/>
        <v>0</v>
      </c>
      <c r="U28" s="10">
        <f t="shared" si="11"/>
        <v>0</v>
      </c>
      <c r="V28" s="26">
        <f t="shared" si="12"/>
        <v>0</v>
      </c>
    </row>
    <row r="29" spans="2:22" x14ac:dyDescent="0.25">
      <c r="B29" s="8" t="s">
        <v>142</v>
      </c>
      <c r="C29" s="9">
        <v>14.200000000000001</v>
      </c>
      <c r="D29" s="9">
        <v>14.799999999999999</v>
      </c>
      <c r="E29" s="23" t="s">
        <v>9</v>
      </c>
      <c r="F29" s="8" t="s">
        <v>15</v>
      </c>
      <c r="G29" s="26">
        <v>9.9999999999999995E-7</v>
      </c>
      <c r="H29" s="8" t="s">
        <v>10</v>
      </c>
      <c r="I29" s="26"/>
      <c r="J29" s="10">
        <f t="shared" si="14"/>
        <v>9.9999999999999995E-7</v>
      </c>
      <c r="K29" s="32" t="str">
        <f t="shared" si="1"/>
        <v>+II</v>
      </c>
      <c r="M29" s="31">
        <f t="shared" si="7"/>
        <v>0.99999899999999997</v>
      </c>
      <c r="N29" s="10">
        <f t="shared" si="8"/>
        <v>0.99999899999999997</v>
      </c>
      <c r="O29" s="10">
        <f t="shared" si="9"/>
        <v>1.9999999999999999E-6</v>
      </c>
      <c r="P29" s="10">
        <f t="shared" si="10"/>
        <v>1.9999999999999999E-6</v>
      </c>
      <c r="Q29" s="9">
        <f t="array" ref="Q29">MIN(IF('Normen en duidingsklassen'!$E$13:$E$20&gt;=$J29,'Normen en duidingsklassen'!$E$13:$E$20))</f>
        <v>3.3333333333333333E-6</v>
      </c>
      <c r="R29" s="9">
        <f>IFERROR(MATCH($Q29,'Normen en duidingsklassen'!$E$13:$E$20,0),1)</f>
        <v>2</v>
      </c>
      <c r="S29" s="9" t="str">
        <f>INDEX('Normen en duidingsklassen'!$D$13:$D$20,R29)</f>
        <v>+II</v>
      </c>
      <c r="T29" s="9" t="b">
        <f t="shared" si="6"/>
        <v>0</v>
      </c>
      <c r="U29" s="10">
        <f t="shared" si="11"/>
        <v>1.0000000000287557E-6</v>
      </c>
      <c r="V29" s="26">
        <f t="shared" si="12"/>
        <v>1.0000000000287557E-6</v>
      </c>
    </row>
    <row r="30" spans="2:22" x14ac:dyDescent="0.25">
      <c r="B30" s="8" t="s">
        <v>143</v>
      </c>
      <c r="C30" s="9">
        <v>14.799999999999999</v>
      </c>
      <c r="D30" s="9">
        <v>16</v>
      </c>
      <c r="E30" s="23" t="s">
        <v>9</v>
      </c>
      <c r="F30" s="8" t="s">
        <v>15</v>
      </c>
      <c r="G30" s="26">
        <v>9.9999999999999995E-7</v>
      </c>
      <c r="H30" s="8" t="s">
        <v>10</v>
      </c>
      <c r="I30" s="26"/>
      <c r="J30" s="10">
        <f t="shared" si="14"/>
        <v>9.9999999999999995E-7</v>
      </c>
      <c r="K30" s="32" t="str">
        <f t="shared" si="1"/>
        <v>+II</v>
      </c>
      <c r="M30" s="31">
        <f t="shared" si="7"/>
        <v>0.99999899999999997</v>
      </c>
      <c r="N30" s="10">
        <f t="shared" si="8"/>
        <v>0.99999899999999997</v>
      </c>
      <c r="O30" s="10">
        <f t="shared" si="9"/>
        <v>1.9999999999999999E-6</v>
      </c>
      <c r="P30" s="10">
        <f t="shared" si="10"/>
        <v>1.9999999999999999E-6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11"/>
        <v>1.0000000000287557E-6</v>
      </c>
      <c r="V30" s="26">
        <f t="shared" si="12"/>
        <v>1.0000000000287557E-6</v>
      </c>
    </row>
    <row r="31" spans="2:22" x14ac:dyDescent="0.25">
      <c r="B31" s="8" t="s">
        <v>144</v>
      </c>
      <c r="C31" s="9">
        <v>16</v>
      </c>
      <c r="D31" s="9">
        <v>16.399999999999999</v>
      </c>
      <c r="E31" s="23" t="s">
        <v>9</v>
      </c>
      <c r="F31" s="8" t="s">
        <v>15</v>
      </c>
      <c r="G31" s="26">
        <v>9.9999999999999995E-7</v>
      </c>
      <c r="H31" s="8" t="s">
        <v>10</v>
      </c>
      <c r="I31" s="26"/>
      <c r="J31" s="10">
        <f t="shared" si="14"/>
        <v>9.9999999999999995E-7</v>
      </c>
      <c r="K31" s="32" t="str">
        <f t="shared" si="1"/>
        <v>+II</v>
      </c>
      <c r="M31" s="31">
        <f t="shared" si="7"/>
        <v>0.99999899999999997</v>
      </c>
      <c r="N31" s="10">
        <f t="shared" si="8"/>
        <v>0.99999899999999997</v>
      </c>
      <c r="O31" s="10">
        <f t="shared" si="9"/>
        <v>1.9999999999999999E-6</v>
      </c>
      <c r="P31" s="10">
        <f t="shared" si="10"/>
        <v>1.9999999999999999E-6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9" t="b">
        <f t="shared" si="6"/>
        <v>0</v>
      </c>
      <c r="U31" s="10">
        <f t="shared" si="11"/>
        <v>1.0000000000287557E-6</v>
      </c>
      <c r="V31" s="26">
        <f t="shared" si="12"/>
        <v>1.0000000000287557E-6</v>
      </c>
    </row>
    <row r="32" spans="2:22" x14ac:dyDescent="0.25">
      <c r="B32" s="8" t="s">
        <v>145</v>
      </c>
      <c r="C32" s="9">
        <v>16.399999999999999</v>
      </c>
      <c r="D32" s="9">
        <v>17.5</v>
      </c>
      <c r="E32" s="23" t="s">
        <v>9</v>
      </c>
      <c r="F32" s="8" t="s">
        <v>15</v>
      </c>
      <c r="G32" s="26">
        <v>9.9999999999999995E-7</v>
      </c>
      <c r="H32" s="8" t="s">
        <v>10</v>
      </c>
      <c r="I32" s="26"/>
      <c r="J32" s="10">
        <f t="shared" si="14"/>
        <v>9.9999999999999995E-7</v>
      </c>
      <c r="K32" s="32" t="str">
        <f t="shared" si="1"/>
        <v>+II</v>
      </c>
      <c r="M32" s="31">
        <f t="shared" si="7"/>
        <v>0.99999899999999997</v>
      </c>
      <c r="N32" s="10">
        <f t="shared" si="8"/>
        <v>0.99999899999999997</v>
      </c>
      <c r="O32" s="10">
        <f t="shared" si="9"/>
        <v>1.9999999999999999E-6</v>
      </c>
      <c r="P32" s="10">
        <f t="shared" si="10"/>
        <v>1.9999999999999999E-6</v>
      </c>
      <c r="Q32" s="9">
        <f t="array" ref="Q32">MIN(IF('Normen en duidingsklassen'!$E$13:$E$20&gt;=$J32,'Normen en duidingsklassen'!$E$13:$E$20))</f>
        <v>3.3333333333333333E-6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6"/>
        <v>0</v>
      </c>
      <c r="U32" s="10">
        <f t="shared" si="11"/>
        <v>1.0000000000287557E-6</v>
      </c>
      <c r="V32" s="26">
        <f t="shared" si="12"/>
        <v>1.0000000000287557E-6</v>
      </c>
    </row>
    <row r="33" spans="2:22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9"/>
      <c r="U33" s="9"/>
      <c r="V33" s="12"/>
    </row>
    <row r="34" spans="2:22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9"/>
      <c r="U34" s="9"/>
      <c r="V34" s="12"/>
    </row>
    <row r="35" spans="2:22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9"/>
      <c r="U35" s="9"/>
      <c r="V35" s="12"/>
    </row>
    <row r="36" spans="2:22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9"/>
      <c r="U36" s="9"/>
      <c r="V36" s="12"/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68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68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thickBot="1" x14ac:dyDescent="0.3">
      <c r="B76" s="13"/>
      <c r="C76" s="14"/>
      <c r="D76" s="14"/>
      <c r="E76" s="24"/>
      <c r="F76" s="13"/>
      <c r="G76" s="27"/>
      <c r="H76" s="13"/>
      <c r="I76" s="27"/>
      <c r="J76" s="15"/>
      <c r="K76" s="34"/>
      <c r="M76" s="33"/>
      <c r="N76" s="15"/>
      <c r="O76" s="15"/>
      <c r="P76" s="15"/>
      <c r="Q76" s="14"/>
      <c r="R76" s="14"/>
      <c r="S76" s="14"/>
      <c r="T76" s="14"/>
      <c r="U76" s="14"/>
      <c r="V76" s="17"/>
    </row>
    <row r="77" spans="2:22" x14ac:dyDescent="0.25">
      <c r="M77" s="1"/>
    </row>
    <row r="78" spans="2:22" x14ac:dyDescent="0.25">
      <c r="M78" s="1"/>
    </row>
  </sheetData>
  <conditionalFormatting sqref="G16:G76">
    <cfRule type="expression" dxfId="83" priority="17">
      <formula>IF($E16="Nee",TRUE,FALSE)</formula>
    </cfRule>
  </conditionalFormatting>
  <conditionalFormatting sqref="I16:I23 I25:I27 I29:I76">
    <cfRule type="expression" dxfId="82" priority="16">
      <formula>IF($H16="Nee",TRUE,FALSE)</formula>
    </cfRule>
  </conditionalFormatting>
  <conditionalFormatting sqref="K16:K76">
    <cfRule type="cellIs" dxfId="81" priority="7" operator="equal">
      <formula>"0"</formula>
    </cfRule>
    <cfRule type="cellIs" dxfId="80" priority="8" operator="equal">
      <formula>"ND"</formula>
    </cfRule>
    <cfRule type="cellIs" dxfId="79" priority="9" operator="equal">
      <formula>"D"</formula>
    </cfRule>
  </conditionalFormatting>
  <conditionalFormatting sqref="I24">
    <cfRule type="expression" dxfId="78" priority="2">
      <formula>IF($E24="Nee",TRUE,FALSE)</formula>
    </cfRule>
  </conditionalFormatting>
  <conditionalFormatting sqref="I28">
    <cfRule type="expression" dxfId="77" priority="1">
      <formula>IF($E28="Nee",TRUE,FALSE)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66C1998D-15BB-4F32-86A4-1C542E19908B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418FE22-99A5-4340-8D15-7412BDDECB23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2E1F4C73-7BF4-44FB-95BB-E1E18C41151A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E77:E92 F16:F76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8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37</v>
      </c>
      <c r="C2" s="2" t="s">
        <v>55</v>
      </c>
    </row>
    <row r="3" spans="2:22" x14ac:dyDescent="0.25">
      <c r="B3" s="35" t="s">
        <v>33</v>
      </c>
      <c r="C3" s="7">
        <v>2</v>
      </c>
    </row>
    <row r="4" spans="2:22" ht="15.75" customHeight="1" x14ac:dyDescent="0.25">
      <c r="B4" s="39" t="s">
        <v>170</v>
      </c>
      <c r="C4" s="12" t="s">
        <v>10</v>
      </c>
    </row>
    <row r="5" spans="2:22" ht="15.75" customHeight="1" x14ac:dyDescent="0.25">
      <c r="B5" s="39" t="s">
        <v>172</v>
      </c>
      <c r="C5" s="12" t="s">
        <v>178</v>
      </c>
    </row>
    <row r="6" spans="2:22" ht="15.75" customHeight="1" x14ac:dyDescent="0.25">
      <c r="B6" s="39" t="s">
        <v>186</v>
      </c>
      <c r="C6" s="12" t="s">
        <v>10</v>
      </c>
    </row>
    <row r="7" spans="2:22" x14ac:dyDescent="0.25">
      <c r="B7" s="39" t="s">
        <v>36</v>
      </c>
      <c r="C7" s="26">
        <f>IFERROR(IF(C5="P1",1-PRODUCT(M16:M16),MAX(O16:O16)),"GR")</f>
        <v>0</v>
      </c>
    </row>
    <row r="8" spans="2:22" x14ac:dyDescent="0.25">
      <c r="B8" s="39" t="s">
        <v>30</v>
      </c>
      <c r="C8" s="26">
        <f>IF(C5="P1",1-PRODUCT(N16:N16),MAX(P16:P16))</f>
        <v>0</v>
      </c>
    </row>
    <row r="9" spans="2:22" x14ac:dyDescent="0.25">
      <c r="B9" s="39" t="s">
        <v>21</v>
      </c>
      <c r="C9" s="26">
        <f>IFERROR(MAX(U16),"GR")</f>
        <v>0</v>
      </c>
    </row>
    <row r="10" spans="2:22" x14ac:dyDescent="0.25">
      <c r="B10" s="39" t="s">
        <v>174</v>
      </c>
      <c r="C10" s="26">
        <f>MAX(V16)</f>
        <v>0</v>
      </c>
    </row>
    <row r="11" spans="2:22" x14ac:dyDescent="0.25">
      <c r="B11" s="39" t="s">
        <v>28</v>
      </c>
      <c r="C11" s="26">
        <f>IFERROR(1-PRODUCT(M16),"GR")</f>
        <v>0</v>
      </c>
    </row>
    <row r="12" spans="2:22" ht="15.75" thickBot="1" x14ac:dyDescent="0.3">
      <c r="B12" s="40" t="s">
        <v>175</v>
      </c>
      <c r="C12" s="27">
        <f>1-PRODUCT(N16)</f>
        <v>0</v>
      </c>
    </row>
    <row r="14" spans="2:22" ht="15.75" thickBot="1" x14ac:dyDescent="0.3">
      <c r="M14" t="s">
        <v>53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12</v>
      </c>
      <c r="G15" s="20" t="s">
        <v>5</v>
      </c>
      <c r="H15" s="18" t="s">
        <v>11</v>
      </c>
      <c r="I15" s="20" t="s">
        <v>7</v>
      </c>
      <c r="J15" s="19" t="s">
        <v>17</v>
      </c>
      <c r="K15" s="20" t="s">
        <v>19</v>
      </c>
      <c r="L15" s="2"/>
      <c r="M15" s="35" t="s">
        <v>31</v>
      </c>
      <c r="N15" s="36" t="s">
        <v>32</v>
      </c>
      <c r="O15" s="36" t="s">
        <v>34</v>
      </c>
      <c r="P15" s="36" t="s">
        <v>35</v>
      </c>
      <c r="Q15" s="37" t="s">
        <v>50</v>
      </c>
      <c r="R15" s="37" t="s">
        <v>51</v>
      </c>
      <c r="S15" s="4"/>
      <c r="T15" s="37" t="s">
        <v>52</v>
      </c>
      <c r="U15" s="37" t="s">
        <v>176</v>
      </c>
      <c r="V15" s="38" t="s">
        <v>177</v>
      </c>
    </row>
    <row r="16" spans="2:22" ht="15.75" thickBot="1" x14ac:dyDescent="0.3">
      <c r="B16" s="41" t="s">
        <v>8</v>
      </c>
      <c r="C16" s="42">
        <v>0</v>
      </c>
      <c r="D16" s="42">
        <v>17.5</v>
      </c>
      <c r="E16" s="43" t="s">
        <v>10</v>
      </c>
      <c r="F16" s="41" t="s">
        <v>14</v>
      </c>
      <c r="G16" s="44"/>
      <c r="H16" s="41" t="s">
        <v>10</v>
      </c>
      <c r="I16" s="44"/>
      <c r="J16" s="45">
        <v>0</v>
      </c>
      <c r="K16" s="46" t="str">
        <f>IF($E16="Nee","NR",IF(ISNUMBER($J16),S16,IF($T16,"D","ND")))</f>
        <v>NR</v>
      </c>
      <c r="M16" s="33">
        <f t="shared" ref="M16" si="0">IF(AND(F16="Geen faalkans",H16="Nee"),1,1-J16)</f>
        <v>1</v>
      </c>
      <c r="N16" s="15">
        <f t="shared" ref="N16" si="1">IF(J16="-",1,M16)</f>
        <v>1</v>
      </c>
      <c r="O16" s="15">
        <f t="shared" ref="O16" si="2">IF(AND(F16="Geen faalkans",H16="Nee"),0,J16*$C$3)</f>
        <v>0</v>
      </c>
      <c r="P16" s="15">
        <f>IF(J16="-",0,O16)</f>
        <v>0</v>
      </c>
      <c r="Q16" s="14">
        <f t="array" ref="Q16">MIN(IF('Normen en duidingsklassen'!$E$13:$E$20&gt;=$J16,'Normen en duidingsklassen'!$E$13:$E$20))</f>
        <v>0</v>
      </c>
      <c r="R16" s="14">
        <f>IFERROR(MATCH($Q16,'Normen en duidingsklassen'!$E$13:$E$20,0),1)</f>
        <v>1</v>
      </c>
      <c r="S16" s="14" t="str">
        <f>INDEX('Normen en duidingsklassen'!$D$13:$D$20,R16)</f>
        <v>+III</v>
      </c>
      <c r="T16" s="14" t="b">
        <f>IF($E16="Ja",IF($H16="Ja",NOT(ISNUMBER($I16)),FALSE),FALSE)</f>
        <v>0</v>
      </c>
      <c r="U16" s="15">
        <f>1-M16</f>
        <v>0</v>
      </c>
      <c r="V16" s="27">
        <f>1-N16</f>
        <v>0</v>
      </c>
    </row>
    <row r="17" spans="13:13" x14ac:dyDescent="0.25">
      <c r="M17" s="1"/>
    </row>
    <row r="18" spans="13:13" x14ac:dyDescent="0.25">
      <c r="M18" s="1"/>
    </row>
  </sheetData>
  <conditionalFormatting sqref="G16">
    <cfRule type="expression" dxfId="70" priority="11">
      <formula>IF($E16="Nee",TRUE,FALSE)</formula>
    </cfRule>
  </conditionalFormatting>
  <conditionalFormatting sqref="I16">
    <cfRule type="expression" dxfId="69" priority="10">
      <formula>IF($H16="Nee",TRUE,FALSE)</formula>
    </cfRule>
  </conditionalFormatting>
  <conditionalFormatting sqref="K16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E17:E32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67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37</v>
      </c>
      <c r="C2" s="2" t="s">
        <v>91</v>
      </c>
    </row>
    <row r="3" spans="2:22" x14ac:dyDescent="0.25">
      <c r="B3" s="35" t="s">
        <v>33</v>
      </c>
      <c r="C3" s="7">
        <v>3</v>
      </c>
    </row>
    <row r="4" spans="2:22" x14ac:dyDescent="0.25">
      <c r="B4" s="39" t="s">
        <v>170</v>
      </c>
      <c r="C4" s="12" t="s">
        <v>10</v>
      </c>
    </row>
    <row r="5" spans="2:22" x14ac:dyDescent="0.25">
      <c r="B5" s="39" t="s">
        <v>172</v>
      </c>
      <c r="C5" s="12" t="s">
        <v>173</v>
      </c>
    </row>
    <row r="6" spans="2:22" x14ac:dyDescent="0.25">
      <c r="B6" s="39" t="s">
        <v>186</v>
      </c>
      <c r="C6" s="12" t="s">
        <v>10</v>
      </c>
    </row>
    <row r="7" spans="2:22" x14ac:dyDescent="0.25">
      <c r="B7" s="39" t="s">
        <v>36</v>
      </c>
      <c r="C7" s="26">
        <f>IFERROR(IF(C5="P1",1-PRODUCT(M16:M65),MAX(O16:O65)),"GR")</f>
        <v>6.9517967803744973E-5</v>
      </c>
    </row>
    <row r="8" spans="2:22" x14ac:dyDescent="0.25">
      <c r="B8" s="39" t="s">
        <v>30</v>
      </c>
      <c r="C8" s="26">
        <f>IF(C5="P1",1-PRODUCT(N16:N65),MAX(P16:P65))</f>
        <v>6.9517967803744973E-5</v>
      </c>
    </row>
    <row r="9" spans="2:22" x14ac:dyDescent="0.25">
      <c r="B9" s="39" t="s">
        <v>21</v>
      </c>
      <c r="C9" s="26">
        <f>IFERROR(MAX(U16:U65),"GR")</f>
        <v>2.4400000000035504E-5</v>
      </c>
    </row>
    <row r="10" spans="2:22" x14ac:dyDescent="0.25">
      <c r="B10" s="39" t="s">
        <v>174</v>
      </c>
      <c r="C10" s="26">
        <f>MAX(V16:V65)</f>
        <v>2.4400000000035504E-5</v>
      </c>
    </row>
    <row r="11" spans="2:22" x14ac:dyDescent="0.25">
      <c r="B11" s="39" t="s">
        <v>28</v>
      </c>
      <c r="C11" s="26">
        <f>IFERROR(1-PRODUCT(M16:M65),"GR")</f>
        <v>6.9517967803744973E-5</v>
      </c>
    </row>
    <row r="12" spans="2:22" ht="15.75" thickBot="1" x14ac:dyDescent="0.3">
      <c r="B12" s="40" t="s">
        <v>175</v>
      </c>
      <c r="C12" s="27">
        <f>1-PRODUCT(N16:N65)</f>
        <v>6.9517967803744973E-5</v>
      </c>
    </row>
    <row r="14" spans="2:22" ht="15.75" thickBot="1" x14ac:dyDescent="0.3">
      <c r="M14" t="s">
        <v>53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12</v>
      </c>
      <c r="G15" s="20" t="s">
        <v>5</v>
      </c>
      <c r="H15" s="18" t="s">
        <v>11</v>
      </c>
      <c r="I15" s="20" t="s">
        <v>7</v>
      </c>
      <c r="J15" s="19" t="s">
        <v>17</v>
      </c>
      <c r="K15" s="20" t="s">
        <v>19</v>
      </c>
      <c r="L15" s="2"/>
      <c r="M15" s="35" t="s">
        <v>31</v>
      </c>
      <c r="N15" s="36" t="s">
        <v>32</v>
      </c>
      <c r="O15" s="36" t="s">
        <v>68</v>
      </c>
      <c r="P15" s="36" t="s">
        <v>69</v>
      </c>
      <c r="Q15" s="37" t="s">
        <v>50</v>
      </c>
      <c r="R15" s="37" t="s">
        <v>51</v>
      </c>
      <c r="S15" s="4"/>
      <c r="T15" s="37" t="s">
        <v>52</v>
      </c>
      <c r="U15" s="37" t="s">
        <v>176</v>
      </c>
      <c r="V15" s="38" t="s">
        <v>177</v>
      </c>
    </row>
    <row r="16" spans="2:22" x14ac:dyDescent="0.25">
      <c r="B16" s="3"/>
      <c r="C16" s="4">
        <v>0</v>
      </c>
      <c r="D16" s="4">
        <v>1.4</v>
      </c>
      <c r="E16" s="22" t="s">
        <v>10</v>
      </c>
      <c r="F16" s="8" t="s">
        <v>14</v>
      </c>
      <c r="G16" s="25"/>
      <c r="H16" s="3" t="s">
        <v>10</v>
      </c>
      <c r="I16" s="25"/>
      <c r="J16" s="5">
        <f t="shared" ref="J16:J24" si="0">IF($E16="Nee",0,IF(H16="Ja",IF(ISNUMBER(I16),I16,"-"),IF(ISNUMBER(G16),G16,"-")))</f>
        <v>0</v>
      </c>
      <c r="K16" s="30" t="str">
        <f t="shared" ref="K16:K62" si="1">IF($E16="Nee","NR",IF(ISNUMBER($J16),S16,IF($T16,"D","ND")))</f>
        <v>NR</v>
      </c>
      <c r="M16" s="31">
        <f t="shared" ref="M16" si="2">IF(AND(F16="Geen faalkans",H16="Nee"),1,1-J16)</f>
        <v>1</v>
      </c>
      <c r="N16" s="10">
        <f t="shared" ref="N16" si="3">IF(J16="-",1,M16)</f>
        <v>1</v>
      </c>
      <c r="O16" s="10">
        <f t="shared" ref="O16" si="4">IF(AND(F16="Geen faalkans",H16="Nee"),0,J16*$C$3)</f>
        <v>0</v>
      </c>
      <c r="P16" s="10">
        <f t="shared" ref="P16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62" si="6"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 t="s">
        <v>146</v>
      </c>
      <c r="C17" s="9">
        <v>1.4</v>
      </c>
      <c r="D17" s="9">
        <v>1.41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0"/>
        <v>9.9999999999999995E-7</v>
      </c>
      <c r="K17" s="32" t="str">
        <f t="shared" si="1"/>
        <v>+II</v>
      </c>
      <c r="M17" s="31">
        <f t="shared" ref="M17:M62" si="7">IF(AND(F17="Geen faalkans",H17="Nee"),1,1-J17)</f>
        <v>0.99999899999999997</v>
      </c>
      <c r="N17" s="10">
        <f t="shared" ref="N17:N62" si="8">IF(J17="-",1,M17)</f>
        <v>0.99999899999999997</v>
      </c>
      <c r="O17" s="10">
        <f t="shared" ref="O17:O62" si="9">IF(AND(F17="Geen faalkans",H17="Nee"),0,J17*$C$3)</f>
        <v>3.0000000000000001E-6</v>
      </c>
      <c r="P17" s="10">
        <f t="shared" ref="P17:P62" si="10">IF(J17="-",0,O17)</f>
        <v>3.0000000000000001E-6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6"/>
        <v>0</v>
      </c>
      <c r="U17" s="10">
        <f t="shared" ref="U17:U62" si="11">1-M17</f>
        <v>1.0000000000287557E-6</v>
      </c>
      <c r="V17" s="26">
        <f t="shared" ref="V17:V62" si="12">1-N17</f>
        <v>1.0000000000287557E-6</v>
      </c>
    </row>
    <row r="18" spans="2:22" x14ac:dyDescent="0.25">
      <c r="B18" s="8"/>
      <c r="C18" s="9">
        <v>1.41</v>
      </c>
      <c r="D18" s="9">
        <v>1.7</v>
      </c>
      <c r="E18" s="23" t="s">
        <v>10</v>
      </c>
      <c r="F18" s="8" t="s">
        <v>14</v>
      </c>
      <c r="G18" s="26"/>
      <c r="H18" s="8" t="s">
        <v>10</v>
      </c>
      <c r="I18" s="26"/>
      <c r="J18" s="10">
        <f t="shared" si="0"/>
        <v>0</v>
      </c>
      <c r="K18" s="32" t="str">
        <f t="shared" si="1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11"/>
        <v>0</v>
      </c>
      <c r="V18" s="26">
        <f t="shared" si="12"/>
        <v>0</v>
      </c>
    </row>
    <row r="19" spans="2:22" x14ac:dyDescent="0.25">
      <c r="B19" s="8" t="s">
        <v>147</v>
      </c>
      <c r="C19" s="9">
        <v>1.7</v>
      </c>
      <c r="D19" s="9">
        <v>1.71</v>
      </c>
      <c r="E19" s="23" t="s">
        <v>9</v>
      </c>
      <c r="F19" s="8" t="s">
        <v>15</v>
      </c>
      <c r="G19" s="26">
        <v>9.9999999999999995E-7</v>
      </c>
      <c r="H19" s="8" t="s">
        <v>10</v>
      </c>
      <c r="I19" s="26"/>
      <c r="J19" s="10">
        <f t="shared" si="0"/>
        <v>9.9999999999999995E-7</v>
      </c>
      <c r="K19" s="32" t="str">
        <f t="shared" si="1"/>
        <v>+II</v>
      </c>
      <c r="M19" s="31">
        <f t="shared" si="7"/>
        <v>0.99999899999999997</v>
      </c>
      <c r="N19" s="10">
        <f t="shared" si="8"/>
        <v>0.99999899999999997</v>
      </c>
      <c r="O19" s="10">
        <f t="shared" si="9"/>
        <v>3.0000000000000001E-6</v>
      </c>
      <c r="P19" s="10">
        <f t="shared" si="10"/>
        <v>3.0000000000000001E-6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9" t="b">
        <f t="shared" si="6"/>
        <v>0</v>
      </c>
      <c r="U19" s="10">
        <f t="shared" si="11"/>
        <v>1.0000000000287557E-6</v>
      </c>
      <c r="V19" s="26">
        <f t="shared" si="12"/>
        <v>1.0000000000287557E-6</v>
      </c>
    </row>
    <row r="20" spans="2:22" x14ac:dyDescent="0.25">
      <c r="B20" s="8"/>
      <c r="C20" s="9">
        <v>1.71</v>
      </c>
      <c r="D20" s="9">
        <v>2.5</v>
      </c>
      <c r="E20" s="23" t="s">
        <v>10</v>
      </c>
      <c r="F20" s="8" t="s">
        <v>14</v>
      </c>
      <c r="G20" s="26"/>
      <c r="H20" s="8" t="s">
        <v>10</v>
      </c>
      <c r="I20" s="26"/>
      <c r="J20" s="10">
        <f t="shared" si="0"/>
        <v>0</v>
      </c>
      <c r="K20" s="32" t="str">
        <f t="shared" si="1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11"/>
        <v>0</v>
      </c>
      <c r="V20" s="26">
        <f t="shared" si="12"/>
        <v>0</v>
      </c>
    </row>
    <row r="21" spans="2:22" x14ac:dyDescent="0.25">
      <c r="B21" s="8" t="s">
        <v>148</v>
      </c>
      <c r="C21" s="9">
        <v>2.5</v>
      </c>
      <c r="D21" s="9">
        <v>2.5099999999999998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0"/>
        <v>9.9999999999999995E-7</v>
      </c>
      <c r="K21" s="32" t="str">
        <f t="shared" si="1"/>
        <v>+II</v>
      </c>
      <c r="M21" s="31">
        <f t="shared" si="7"/>
        <v>0.99999899999999997</v>
      </c>
      <c r="N21" s="10">
        <f t="shared" si="8"/>
        <v>0.99999899999999997</v>
      </c>
      <c r="O21" s="10">
        <f t="shared" si="9"/>
        <v>3.0000000000000001E-6</v>
      </c>
      <c r="P21" s="10">
        <f t="shared" si="10"/>
        <v>3.0000000000000001E-6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6"/>
        <v>0</v>
      </c>
      <c r="U21" s="10">
        <f t="shared" si="11"/>
        <v>1.0000000000287557E-6</v>
      </c>
      <c r="V21" s="26">
        <f t="shared" si="12"/>
        <v>1.0000000000287557E-6</v>
      </c>
    </row>
    <row r="22" spans="2:22" x14ac:dyDescent="0.25">
      <c r="B22" s="8"/>
      <c r="C22" s="9">
        <v>2.5099999999999998</v>
      </c>
      <c r="D22" s="9">
        <v>2.8</v>
      </c>
      <c r="E22" s="23" t="s">
        <v>10</v>
      </c>
      <c r="F22" s="8" t="s">
        <v>14</v>
      </c>
      <c r="G22" s="26"/>
      <c r="H22" s="8" t="s">
        <v>10</v>
      </c>
      <c r="I22" s="26"/>
      <c r="J22" s="10">
        <f t="shared" si="0"/>
        <v>0</v>
      </c>
      <c r="K22" s="32" t="str">
        <f t="shared" si="1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11"/>
        <v>0</v>
      </c>
      <c r="V22" s="26">
        <f t="shared" si="12"/>
        <v>0</v>
      </c>
    </row>
    <row r="23" spans="2:22" x14ac:dyDescent="0.25">
      <c r="B23" s="8" t="s">
        <v>149</v>
      </c>
      <c r="C23" s="9">
        <v>2.8</v>
      </c>
      <c r="D23" s="9">
        <v>2.81</v>
      </c>
      <c r="E23" s="23" t="s">
        <v>9</v>
      </c>
      <c r="F23" s="8" t="s">
        <v>15</v>
      </c>
      <c r="G23" s="26">
        <v>9.9999999999999995E-7</v>
      </c>
      <c r="H23" s="8" t="s">
        <v>10</v>
      </c>
      <c r="I23" s="26"/>
      <c r="J23" s="10">
        <f t="shared" si="0"/>
        <v>9.9999999999999995E-7</v>
      </c>
      <c r="K23" s="32" t="str">
        <f t="shared" si="1"/>
        <v>+II</v>
      </c>
      <c r="M23" s="31">
        <f t="shared" si="7"/>
        <v>0.99999899999999997</v>
      </c>
      <c r="N23" s="10">
        <f t="shared" si="8"/>
        <v>0.99999899999999997</v>
      </c>
      <c r="O23" s="10">
        <f t="shared" si="9"/>
        <v>3.0000000000000001E-6</v>
      </c>
      <c r="P23" s="10">
        <f t="shared" si="10"/>
        <v>3.0000000000000001E-6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6"/>
        <v>0</v>
      </c>
      <c r="U23" s="10">
        <f t="shared" si="11"/>
        <v>1.0000000000287557E-6</v>
      </c>
      <c r="V23" s="26">
        <f t="shared" si="12"/>
        <v>1.0000000000287557E-6</v>
      </c>
    </row>
    <row r="24" spans="2:22" x14ac:dyDescent="0.25">
      <c r="B24" s="8"/>
      <c r="C24" s="9">
        <v>2.81</v>
      </c>
      <c r="D24" s="9">
        <v>5.9</v>
      </c>
      <c r="E24" s="23" t="s">
        <v>10</v>
      </c>
      <c r="F24" s="8" t="s">
        <v>14</v>
      </c>
      <c r="G24" s="26"/>
      <c r="H24" s="8" t="s">
        <v>10</v>
      </c>
      <c r="I24" s="26"/>
      <c r="J24" s="10">
        <f t="shared" si="0"/>
        <v>0</v>
      </c>
      <c r="K24" s="32" t="str">
        <f t="shared" si="1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11"/>
        <v>0</v>
      </c>
      <c r="V24" s="26">
        <f t="shared" si="12"/>
        <v>0</v>
      </c>
    </row>
    <row r="25" spans="2:22" x14ac:dyDescent="0.25">
      <c r="B25" s="8" t="s">
        <v>150</v>
      </c>
      <c r="C25" s="9">
        <v>5.9</v>
      </c>
      <c r="D25" s="9">
        <v>5.91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ref="J25:J30" si="13">IF($E25="Nee",0,IF(H25="Ja",IF(ISNUMBER(I25),I25,"-"),IF(ISNUMBER(G25),G25,"-")))</f>
        <v>9.9999999999999995E-7</v>
      </c>
      <c r="K25" s="32" t="str">
        <f t="shared" si="1"/>
        <v>+II</v>
      </c>
      <c r="M25" s="31">
        <f t="shared" si="7"/>
        <v>0.99999899999999997</v>
      </c>
      <c r="N25" s="10">
        <f t="shared" si="8"/>
        <v>0.99999899999999997</v>
      </c>
      <c r="O25" s="10">
        <f t="shared" si="9"/>
        <v>3.0000000000000001E-6</v>
      </c>
      <c r="P25" s="10">
        <f t="shared" si="10"/>
        <v>3.0000000000000001E-6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6"/>
        <v>0</v>
      </c>
      <c r="U25" s="10">
        <f t="shared" si="11"/>
        <v>1.0000000000287557E-6</v>
      </c>
      <c r="V25" s="26">
        <f t="shared" si="12"/>
        <v>1.0000000000287557E-6</v>
      </c>
    </row>
    <row r="26" spans="2:22" x14ac:dyDescent="0.25">
      <c r="B26" s="8"/>
      <c r="C26" s="9">
        <v>5.91</v>
      </c>
      <c r="D26" s="9">
        <v>6.7</v>
      </c>
      <c r="E26" s="23" t="s">
        <v>10</v>
      </c>
      <c r="F26" s="8" t="s">
        <v>14</v>
      </c>
      <c r="G26" s="26"/>
      <c r="H26" s="8" t="s">
        <v>10</v>
      </c>
      <c r="I26" s="26"/>
      <c r="J26" s="10">
        <f t="shared" si="13"/>
        <v>0</v>
      </c>
      <c r="K26" s="32" t="str">
        <f t="shared" si="1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11"/>
        <v>0</v>
      </c>
      <c r="V26" s="26">
        <f t="shared" si="12"/>
        <v>0</v>
      </c>
    </row>
    <row r="27" spans="2:22" x14ac:dyDescent="0.25">
      <c r="B27" s="8" t="s">
        <v>151</v>
      </c>
      <c r="C27" s="9">
        <v>6.7</v>
      </c>
      <c r="D27" s="9">
        <v>6.71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13"/>
        <v>9.9999999999999995E-7</v>
      </c>
      <c r="K27" s="32" t="str">
        <f t="shared" si="1"/>
        <v>+II</v>
      </c>
      <c r="M27" s="31">
        <f t="shared" si="7"/>
        <v>0.99999899999999997</v>
      </c>
      <c r="N27" s="10">
        <f t="shared" si="8"/>
        <v>0.99999899999999997</v>
      </c>
      <c r="O27" s="10">
        <f t="shared" si="9"/>
        <v>3.0000000000000001E-6</v>
      </c>
      <c r="P27" s="10">
        <f t="shared" si="10"/>
        <v>3.0000000000000001E-6</v>
      </c>
      <c r="Q27" s="9">
        <f t="array" ref="Q27">MIN(IF('Normen en duidingsklassen'!$E$13:$E$20&gt;=$J27,'Normen en duidingsklassen'!$E$13:$E$20))</f>
        <v>3.3333333333333333E-6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9" t="b">
        <f t="shared" si="6"/>
        <v>0</v>
      </c>
      <c r="U27" s="10">
        <f t="shared" si="11"/>
        <v>1.0000000000287557E-6</v>
      </c>
      <c r="V27" s="26">
        <f t="shared" si="12"/>
        <v>1.0000000000287557E-6</v>
      </c>
    </row>
    <row r="28" spans="2:22" x14ac:dyDescent="0.25">
      <c r="B28" s="8"/>
      <c r="C28" s="9">
        <v>6.71</v>
      </c>
      <c r="D28" s="9">
        <v>7.1</v>
      </c>
      <c r="E28" s="23" t="s">
        <v>10</v>
      </c>
      <c r="F28" s="8" t="s">
        <v>14</v>
      </c>
      <c r="G28" s="26"/>
      <c r="H28" s="8" t="s">
        <v>10</v>
      </c>
      <c r="I28" s="26"/>
      <c r="J28" s="10">
        <f t="shared" si="13"/>
        <v>0</v>
      </c>
      <c r="K28" s="32" t="str">
        <f t="shared" si="1"/>
        <v>NR</v>
      </c>
      <c r="M28" s="31">
        <f t="shared" si="7"/>
        <v>1</v>
      </c>
      <c r="N28" s="10">
        <f t="shared" si="8"/>
        <v>1</v>
      </c>
      <c r="O28" s="10">
        <f t="shared" si="9"/>
        <v>0</v>
      </c>
      <c r="P28" s="10">
        <f t="shared" si="10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6"/>
        <v>0</v>
      </c>
      <c r="U28" s="10">
        <f t="shared" si="11"/>
        <v>0</v>
      </c>
      <c r="V28" s="26">
        <f t="shared" si="12"/>
        <v>0</v>
      </c>
    </row>
    <row r="29" spans="2:22" x14ac:dyDescent="0.25">
      <c r="B29" s="8" t="s">
        <v>152</v>
      </c>
      <c r="C29" s="9">
        <v>7.1</v>
      </c>
      <c r="D29" s="9">
        <v>7.11</v>
      </c>
      <c r="E29" s="23" t="s">
        <v>9</v>
      </c>
      <c r="F29" s="8" t="s">
        <v>15</v>
      </c>
      <c r="G29" s="26">
        <v>9.9999999999999995E-7</v>
      </c>
      <c r="H29" s="8" t="s">
        <v>10</v>
      </c>
      <c r="I29" s="26"/>
      <c r="J29" s="10">
        <f t="shared" si="13"/>
        <v>9.9999999999999995E-7</v>
      </c>
      <c r="K29" s="32" t="str">
        <f t="shared" si="1"/>
        <v>+II</v>
      </c>
      <c r="M29" s="31">
        <f t="shared" si="7"/>
        <v>0.99999899999999997</v>
      </c>
      <c r="N29" s="10">
        <f t="shared" si="8"/>
        <v>0.99999899999999997</v>
      </c>
      <c r="O29" s="10">
        <f t="shared" si="9"/>
        <v>3.0000000000000001E-6</v>
      </c>
      <c r="P29" s="10">
        <f t="shared" si="10"/>
        <v>3.0000000000000001E-6</v>
      </c>
      <c r="Q29" s="9">
        <f t="array" ref="Q29">MIN(IF('Normen en duidingsklassen'!$E$13:$E$20&gt;=$J29,'Normen en duidingsklassen'!$E$13:$E$20))</f>
        <v>3.3333333333333333E-6</v>
      </c>
      <c r="R29" s="9">
        <f>IFERROR(MATCH($Q29,'Normen en duidingsklassen'!$E$13:$E$20,0),1)</f>
        <v>2</v>
      </c>
      <c r="S29" s="9" t="str">
        <f>INDEX('Normen en duidingsklassen'!$D$13:$D$20,R29)</f>
        <v>+II</v>
      </c>
      <c r="T29" s="9" t="b">
        <f t="shared" si="6"/>
        <v>0</v>
      </c>
      <c r="U29" s="10">
        <f t="shared" si="11"/>
        <v>1.0000000000287557E-6</v>
      </c>
      <c r="V29" s="26">
        <f t="shared" si="12"/>
        <v>1.0000000000287557E-6</v>
      </c>
    </row>
    <row r="30" spans="2:22" x14ac:dyDescent="0.25">
      <c r="B30" s="8"/>
      <c r="C30" s="9">
        <v>7.11</v>
      </c>
      <c r="D30" s="9">
        <v>7.7</v>
      </c>
      <c r="E30" s="23" t="s">
        <v>10</v>
      </c>
      <c r="F30" s="8" t="s">
        <v>14</v>
      </c>
      <c r="G30" s="26"/>
      <c r="H30" s="8" t="s">
        <v>10</v>
      </c>
      <c r="I30" s="26"/>
      <c r="J30" s="10">
        <f t="shared" si="13"/>
        <v>0</v>
      </c>
      <c r="K30" s="32" t="str">
        <f t="shared" si="1"/>
        <v>NR</v>
      </c>
      <c r="M30" s="31">
        <f t="shared" si="7"/>
        <v>1</v>
      </c>
      <c r="N30" s="10">
        <f t="shared" si="8"/>
        <v>1</v>
      </c>
      <c r="O30" s="10">
        <f t="shared" si="9"/>
        <v>0</v>
      </c>
      <c r="P30" s="10">
        <f t="shared" si="10"/>
        <v>0</v>
      </c>
      <c r="Q30" s="9">
        <f t="array" ref="Q30">MIN(IF('Normen en duidingsklassen'!$E$13:$E$20&gt;=$J30,'Normen en duidingsklassen'!$E$13:$E$20))</f>
        <v>0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11"/>
        <v>0</v>
      </c>
      <c r="V30" s="26">
        <f t="shared" si="12"/>
        <v>0</v>
      </c>
    </row>
    <row r="31" spans="2:22" x14ac:dyDescent="0.25">
      <c r="B31" s="8" t="s">
        <v>153</v>
      </c>
      <c r="C31" s="9">
        <v>7.7</v>
      </c>
      <c r="D31" s="9">
        <v>7.71</v>
      </c>
      <c r="E31" s="23" t="s">
        <v>9</v>
      </c>
      <c r="F31" s="8" t="s">
        <v>15</v>
      </c>
      <c r="G31" s="26">
        <v>1.4100000000000001E-6</v>
      </c>
      <c r="H31" s="8" t="s">
        <v>10</v>
      </c>
      <c r="I31" s="26"/>
      <c r="J31" s="10">
        <f t="shared" ref="J31:J62" si="14">IF($E31="Nee",0,IF(H31="Ja",IF(ISNUMBER(I31),I31,"-"),IF(ISNUMBER(G31),G31,"-")))</f>
        <v>1.4100000000000001E-6</v>
      </c>
      <c r="K31" s="32" t="str">
        <f t="shared" si="1"/>
        <v>+II</v>
      </c>
      <c r="M31" s="31">
        <f t="shared" si="7"/>
        <v>0.99999859000000002</v>
      </c>
      <c r="N31" s="10">
        <f t="shared" si="8"/>
        <v>0.99999859000000002</v>
      </c>
      <c r="O31" s="10">
        <f t="shared" si="9"/>
        <v>4.2300000000000002E-6</v>
      </c>
      <c r="P31" s="10">
        <f t="shared" si="10"/>
        <v>4.2300000000000002E-6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9" t="b">
        <f t="shared" si="6"/>
        <v>0</v>
      </c>
      <c r="U31" s="10">
        <f t="shared" si="11"/>
        <v>1.4099999999794832E-6</v>
      </c>
      <c r="V31" s="26">
        <f t="shared" si="12"/>
        <v>1.4099999999794832E-6</v>
      </c>
    </row>
    <row r="32" spans="2:22" x14ac:dyDescent="0.25">
      <c r="B32" s="8"/>
      <c r="C32" s="9">
        <v>7.71</v>
      </c>
      <c r="D32" s="9">
        <v>8.25</v>
      </c>
      <c r="E32" s="23" t="s">
        <v>10</v>
      </c>
      <c r="F32" s="8" t="s">
        <v>14</v>
      </c>
      <c r="G32" s="26"/>
      <c r="H32" s="8" t="s">
        <v>10</v>
      </c>
      <c r="I32" s="26"/>
      <c r="J32" s="10">
        <f t="shared" si="14"/>
        <v>0</v>
      </c>
      <c r="K32" s="32" t="str">
        <f t="shared" si="1"/>
        <v>NR</v>
      </c>
      <c r="M32" s="31">
        <f t="shared" si="7"/>
        <v>1</v>
      </c>
      <c r="N32" s="10">
        <f t="shared" si="8"/>
        <v>1</v>
      </c>
      <c r="O32" s="10">
        <f t="shared" si="9"/>
        <v>0</v>
      </c>
      <c r="P32" s="10">
        <f t="shared" si="10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11"/>
        <v>0</v>
      </c>
      <c r="V32" s="26">
        <f t="shared" si="12"/>
        <v>0</v>
      </c>
    </row>
    <row r="33" spans="2:22" x14ac:dyDescent="0.25">
      <c r="B33" s="8" t="s">
        <v>154</v>
      </c>
      <c r="C33" s="9">
        <v>8.25</v>
      </c>
      <c r="D33" s="9">
        <v>8.26</v>
      </c>
      <c r="E33" s="23" t="s">
        <v>9</v>
      </c>
      <c r="F33" s="8" t="s">
        <v>15</v>
      </c>
      <c r="G33" s="26">
        <v>9.9999999999999995E-7</v>
      </c>
      <c r="H33" s="8" t="s">
        <v>10</v>
      </c>
      <c r="I33" s="26"/>
      <c r="J33" s="10">
        <f t="shared" si="14"/>
        <v>9.9999999999999995E-7</v>
      </c>
      <c r="K33" s="32" t="str">
        <f t="shared" si="1"/>
        <v>+II</v>
      </c>
      <c r="M33" s="31">
        <f t="shared" si="7"/>
        <v>0.99999899999999997</v>
      </c>
      <c r="N33" s="10">
        <f t="shared" si="8"/>
        <v>0.99999899999999997</v>
      </c>
      <c r="O33" s="10">
        <f t="shared" si="9"/>
        <v>3.0000000000000001E-6</v>
      </c>
      <c r="P33" s="10">
        <f t="shared" si="10"/>
        <v>3.0000000000000001E-6</v>
      </c>
      <c r="Q33" s="9">
        <f t="array" ref="Q33">MIN(IF('Normen en duidingsklassen'!$E$13:$E$20&gt;=$J33,'Normen en duidingsklassen'!$E$13:$E$20))</f>
        <v>3.3333333333333333E-6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9" t="b">
        <f t="shared" si="6"/>
        <v>0</v>
      </c>
      <c r="U33" s="10">
        <f t="shared" si="11"/>
        <v>1.0000000000287557E-6</v>
      </c>
      <c r="V33" s="26">
        <f t="shared" si="12"/>
        <v>1.0000000000287557E-6</v>
      </c>
    </row>
    <row r="34" spans="2:22" x14ac:dyDescent="0.25">
      <c r="B34" s="8"/>
      <c r="C34" s="9">
        <v>8.26</v>
      </c>
      <c r="D34" s="9">
        <v>10</v>
      </c>
      <c r="E34" s="23" t="s">
        <v>10</v>
      </c>
      <c r="F34" s="8" t="s">
        <v>14</v>
      </c>
      <c r="G34" s="26"/>
      <c r="H34" s="8" t="s">
        <v>10</v>
      </c>
      <c r="I34" s="26"/>
      <c r="J34" s="10">
        <f t="shared" si="14"/>
        <v>0</v>
      </c>
      <c r="K34" s="32" t="str">
        <f t="shared" si="1"/>
        <v>NR</v>
      </c>
      <c r="M34" s="31">
        <f t="shared" si="7"/>
        <v>1</v>
      </c>
      <c r="N34" s="10">
        <f t="shared" si="8"/>
        <v>1</v>
      </c>
      <c r="O34" s="10">
        <f t="shared" si="9"/>
        <v>0</v>
      </c>
      <c r="P34" s="10">
        <f t="shared" si="10"/>
        <v>0</v>
      </c>
      <c r="Q34" s="9">
        <f t="array" ref="Q34">MIN(IF('Normen en duidingsklassen'!$E$13:$E$20&gt;=$J34,'Normen en duidingsklassen'!$E$13:$E$20))</f>
        <v>0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6"/>
        <v>0</v>
      </c>
      <c r="U34" s="10">
        <f t="shared" si="11"/>
        <v>0</v>
      </c>
      <c r="V34" s="26">
        <f t="shared" si="12"/>
        <v>0</v>
      </c>
    </row>
    <row r="35" spans="2:22" x14ac:dyDescent="0.25">
      <c r="B35" s="8" t="s">
        <v>155</v>
      </c>
      <c r="C35" s="9">
        <v>10</v>
      </c>
      <c r="D35" s="9">
        <v>10.01</v>
      </c>
      <c r="E35" s="23" t="s">
        <v>9</v>
      </c>
      <c r="F35" s="8" t="s">
        <v>15</v>
      </c>
      <c r="G35" s="26">
        <v>5.0000000000000004E-6</v>
      </c>
      <c r="H35" s="8" t="s">
        <v>10</v>
      </c>
      <c r="I35" s="26"/>
      <c r="J35" s="10">
        <f t="shared" si="14"/>
        <v>5.0000000000000004E-6</v>
      </c>
      <c r="K35" s="32" t="str">
        <f t="shared" si="1"/>
        <v>+I</v>
      </c>
      <c r="M35" s="31">
        <f t="shared" si="7"/>
        <v>0.99999499999999997</v>
      </c>
      <c r="N35" s="10">
        <f t="shared" si="8"/>
        <v>0.99999499999999997</v>
      </c>
      <c r="O35" s="10">
        <f t="shared" si="9"/>
        <v>1.5000000000000002E-5</v>
      </c>
      <c r="P35" s="10">
        <f t="shared" si="10"/>
        <v>1.5000000000000002E-5</v>
      </c>
      <c r="Q35" s="9">
        <f t="array" ref="Q35">MIN(IF('Normen en duidingsklassen'!$E$13:$E$20&gt;=$J35,'Normen en duidingsklassen'!$E$13:$E$20))</f>
        <v>3.3333333333333335E-5</v>
      </c>
      <c r="R35" s="9">
        <f>IFERROR(MATCH($Q35,'Normen en duidingsklassen'!$E$13:$E$20,0),1)</f>
        <v>3</v>
      </c>
      <c r="S35" s="9" t="str">
        <f>INDEX('Normen en duidingsklassen'!$D$13:$D$20,R35)</f>
        <v>+I</v>
      </c>
      <c r="T35" s="9" t="b">
        <f t="shared" si="6"/>
        <v>0</v>
      </c>
      <c r="U35" s="10">
        <f t="shared" si="11"/>
        <v>5.000000000032756E-6</v>
      </c>
      <c r="V35" s="26">
        <f t="shared" si="12"/>
        <v>5.000000000032756E-6</v>
      </c>
    </row>
    <row r="36" spans="2:22" x14ac:dyDescent="0.25">
      <c r="B36" s="8"/>
      <c r="C36" s="9">
        <v>10.01</v>
      </c>
      <c r="D36" s="9">
        <v>10.199999999999999</v>
      </c>
      <c r="E36" s="23" t="s">
        <v>10</v>
      </c>
      <c r="F36" s="8" t="s">
        <v>14</v>
      </c>
      <c r="G36" s="26"/>
      <c r="H36" s="8" t="s">
        <v>10</v>
      </c>
      <c r="I36" s="26"/>
      <c r="J36" s="10">
        <f t="shared" si="14"/>
        <v>0</v>
      </c>
      <c r="K36" s="32" t="str">
        <f t="shared" si="1"/>
        <v>NR</v>
      </c>
      <c r="M36" s="31">
        <f t="shared" si="7"/>
        <v>1</v>
      </c>
      <c r="N36" s="10">
        <f t="shared" si="8"/>
        <v>1</v>
      </c>
      <c r="O36" s="10">
        <f t="shared" si="9"/>
        <v>0</v>
      </c>
      <c r="P36" s="10">
        <f t="shared" si="10"/>
        <v>0</v>
      </c>
      <c r="Q36" s="9">
        <f t="array" ref="Q36">MIN(IF('Normen en duidingsklassen'!$E$13:$E$20&gt;=$J36,'Normen en duidingsklassen'!$E$13:$E$20))</f>
        <v>0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6"/>
        <v>0</v>
      </c>
      <c r="U36" s="10">
        <f t="shared" si="11"/>
        <v>0</v>
      </c>
      <c r="V36" s="26">
        <f t="shared" si="12"/>
        <v>0</v>
      </c>
    </row>
    <row r="37" spans="2:22" x14ac:dyDescent="0.25">
      <c r="B37" s="8" t="s">
        <v>156</v>
      </c>
      <c r="C37" s="9">
        <v>10.199999999999999</v>
      </c>
      <c r="D37" s="9">
        <v>10.210000000000001</v>
      </c>
      <c r="E37" s="23" t="s">
        <v>9</v>
      </c>
      <c r="F37" s="8" t="s">
        <v>15</v>
      </c>
      <c r="G37" s="26">
        <v>8.3299999999999999E-6</v>
      </c>
      <c r="H37" s="8" t="s">
        <v>10</v>
      </c>
      <c r="I37" s="26"/>
      <c r="J37" s="10">
        <f t="shared" si="14"/>
        <v>8.3299999999999999E-6</v>
      </c>
      <c r="K37" s="32" t="str">
        <f t="shared" si="1"/>
        <v>+I</v>
      </c>
      <c r="M37" s="31">
        <f t="shared" si="7"/>
        <v>0.99999167</v>
      </c>
      <c r="N37" s="10">
        <f t="shared" si="8"/>
        <v>0.99999167</v>
      </c>
      <c r="O37" s="10">
        <f t="shared" si="9"/>
        <v>2.499E-5</v>
      </c>
      <c r="P37" s="10">
        <f t="shared" si="10"/>
        <v>2.499E-5</v>
      </c>
      <c r="Q37" s="9">
        <f t="array" ref="Q37">MIN(IF('Normen en duidingsklassen'!$E$13:$E$20&gt;=$J37,'Normen en duidingsklassen'!$E$13:$E$20))</f>
        <v>3.3333333333333335E-5</v>
      </c>
      <c r="R37" s="9">
        <f>IFERROR(MATCH($Q37,'Normen en duidingsklassen'!$E$13:$E$20,0),1)</f>
        <v>3</v>
      </c>
      <c r="S37" s="9" t="str">
        <f>INDEX('Normen en duidingsklassen'!$D$13:$D$20,R37)</f>
        <v>+I</v>
      </c>
      <c r="T37" s="9" t="b">
        <f t="shared" si="6"/>
        <v>0</v>
      </c>
      <c r="U37" s="10">
        <f t="shared" si="11"/>
        <v>8.3300000000008367E-6</v>
      </c>
      <c r="V37" s="26">
        <f t="shared" si="12"/>
        <v>8.3300000000008367E-6</v>
      </c>
    </row>
    <row r="38" spans="2:22" x14ac:dyDescent="0.25">
      <c r="B38" s="8"/>
      <c r="C38" s="9">
        <v>10.210000000000001</v>
      </c>
      <c r="D38" s="9">
        <v>10.55</v>
      </c>
      <c r="E38" s="23" t="s">
        <v>10</v>
      </c>
      <c r="F38" s="8" t="s">
        <v>14</v>
      </c>
      <c r="G38" s="26"/>
      <c r="H38" s="8" t="s">
        <v>10</v>
      </c>
      <c r="I38" s="26"/>
      <c r="J38" s="10">
        <f t="shared" si="14"/>
        <v>0</v>
      </c>
      <c r="K38" s="32" t="str">
        <f t="shared" si="1"/>
        <v>NR</v>
      </c>
      <c r="M38" s="31">
        <f t="shared" si="7"/>
        <v>1</v>
      </c>
      <c r="N38" s="10">
        <f t="shared" si="8"/>
        <v>1</v>
      </c>
      <c r="O38" s="10">
        <f t="shared" si="9"/>
        <v>0</v>
      </c>
      <c r="P38" s="10">
        <f t="shared" si="10"/>
        <v>0</v>
      </c>
      <c r="Q38" s="9">
        <f t="array" ref="Q38">MIN(IF('Normen en duidingsklassen'!$E$13:$E$20&gt;=$J38,'Normen en duidingsklassen'!$E$13:$E$20))</f>
        <v>0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9" t="b">
        <f t="shared" si="6"/>
        <v>0</v>
      </c>
      <c r="U38" s="10">
        <f t="shared" si="11"/>
        <v>0</v>
      </c>
      <c r="V38" s="26">
        <f t="shared" si="12"/>
        <v>0</v>
      </c>
    </row>
    <row r="39" spans="2:22" x14ac:dyDescent="0.25">
      <c r="B39" s="8" t="s">
        <v>157</v>
      </c>
      <c r="C39" s="9">
        <v>10.55</v>
      </c>
      <c r="D39" s="9">
        <v>10.56</v>
      </c>
      <c r="E39" s="23" t="s">
        <v>9</v>
      </c>
      <c r="F39" s="8" t="s">
        <v>15</v>
      </c>
      <c r="G39" s="26">
        <v>2.44E-5</v>
      </c>
      <c r="H39" s="8" t="s">
        <v>10</v>
      </c>
      <c r="I39" s="26"/>
      <c r="J39" s="10">
        <f t="shared" si="14"/>
        <v>2.44E-5</v>
      </c>
      <c r="K39" s="32" t="str">
        <f t="shared" si="1"/>
        <v>+I</v>
      </c>
      <c r="M39" s="31">
        <f t="shared" si="7"/>
        <v>0.99997559999999996</v>
      </c>
      <c r="N39" s="10">
        <f t="shared" si="8"/>
        <v>0.99997559999999996</v>
      </c>
      <c r="O39" s="10">
        <f t="shared" si="9"/>
        <v>7.3200000000000004E-5</v>
      </c>
      <c r="P39" s="10">
        <f t="shared" si="10"/>
        <v>7.3200000000000004E-5</v>
      </c>
      <c r="Q39" s="9">
        <f t="array" ref="Q39">MIN(IF('Normen en duidingsklassen'!$E$13:$E$20&gt;=$J39,'Normen en duidingsklassen'!$E$13:$E$20))</f>
        <v>3.3333333333333335E-5</v>
      </c>
      <c r="R39" s="9">
        <f>IFERROR(MATCH($Q39,'Normen en duidingsklassen'!$E$13:$E$20,0),1)</f>
        <v>3</v>
      </c>
      <c r="S39" s="9" t="str">
        <f>INDEX('Normen en duidingsklassen'!$D$13:$D$20,R39)</f>
        <v>+I</v>
      </c>
      <c r="T39" s="9" t="b">
        <f t="shared" si="6"/>
        <v>0</v>
      </c>
      <c r="U39" s="10">
        <f t="shared" si="11"/>
        <v>2.4400000000035504E-5</v>
      </c>
      <c r="V39" s="26">
        <f t="shared" si="12"/>
        <v>2.4400000000035504E-5</v>
      </c>
    </row>
    <row r="40" spans="2:22" x14ac:dyDescent="0.25">
      <c r="B40" s="8"/>
      <c r="C40" s="9">
        <v>10.56</v>
      </c>
      <c r="D40" s="9">
        <v>11</v>
      </c>
      <c r="E40" s="23" t="s">
        <v>10</v>
      </c>
      <c r="F40" s="8" t="s">
        <v>14</v>
      </c>
      <c r="G40" s="26"/>
      <c r="H40" s="8" t="s">
        <v>10</v>
      </c>
      <c r="I40" s="26"/>
      <c r="J40" s="10">
        <f t="shared" si="14"/>
        <v>0</v>
      </c>
      <c r="K40" s="32" t="str">
        <f t="shared" si="1"/>
        <v>NR</v>
      </c>
      <c r="M40" s="31">
        <f t="shared" si="7"/>
        <v>1</v>
      </c>
      <c r="N40" s="10">
        <f t="shared" si="8"/>
        <v>1</v>
      </c>
      <c r="O40" s="10">
        <f t="shared" si="9"/>
        <v>0</v>
      </c>
      <c r="P40" s="10">
        <f t="shared" si="10"/>
        <v>0</v>
      </c>
      <c r="Q40" s="9">
        <f t="array" ref="Q40">MIN(IF('Normen en duidingsklassen'!$E$13:$E$20&gt;=$J40,'Normen en duidingsklassen'!$E$13:$E$20))</f>
        <v>0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 t="shared" si="6"/>
        <v>0</v>
      </c>
      <c r="U40" s="10">
        <f t="shared" si="11"/>
        <v>0</v>
      </c>
      <c r="V40" s="26">
        <f t="shared" si="12"/>
        <v>0</v>
      </c>
    </row>
    <row r="41" spans="2:22" x14ac:dyDescent="0.25">
      <c r="B41" s="8" t="s">
        <v>158</v>
      </c>
      <c r="C41" s="9">
        <v>11</v>
      </c>
      <c r="D41" s="9">
        <v>11.01</v>
      </c>
      <c r="E41" s="23" t="s">
        <v>9</v>
      </c>
      <c r="F41" s="8" t="s">
        <v>15</v>
      </c>
      <c r="G41" s="26">
        <v>1.61E-6</v>
      </c>
      <c r="H41" s="8" t="s">
        <v>10</v>
      </c>
      <c r="I41" s="26"/>
      <c r="J41" s="10">
        <f t="shared" si="14"/>
        <v>1.61E-6</v>
      </c>
      <c r="K41" s="32" t="str">
        <f t="shared" si="1"/>
        <v>+II</v>
      </c>
      <c r="M41" s="31">
        <f t="shared" si="7"/>
        <v>0.99999839000000001</v>
      </c>
      <c r="N41" s="10">
        <f t="shared" si="8"/>
        <v>0.99999839000000001</v>
      </c>
      <c r="O41" s="10">
        <f t="shared" si="9"/>
        <v>4.8300000000000003E-6</v>
      </c>
      <c r="P41" s="10">
        <f t="shared" si="10"/>
        <v>4.8300000000000003E-6</v>
      </c>
      <c r="Q41" s="9">
        <f t="array" ref="Q41">MIN(IF('Normen en duidingsklassen'!$E$13:$E$20&gt;=$J41,'Normen en duidingsklassen'!$E$13:$E$20))</f>
        <v>3.3333333333333333E-6</v>
      </c>
      <c r="R41" s="9">
        <f>IFERROR(MATCH($Q41,'Normen en duidingsklassen'!$E$13:$E$20,0),1)</f>
        <v>2</v>
      </c>
      <c r="S41" s="9" t="str">
        <f>INDEX('Normen en duidingsklassen'!$D$13:$D$20,R41)</f>
        <v>+II</v>
      </c>
      <c r="T41" s="9" t="b">
        <f t="shared" si="6"/>
        <v>0</v>
      </c>
      <c r="U41" s="10">
        <f t="shared" si="11"/>
        <v>1.6099999999852344E-6</v>
      </c>
      <c r="V41" s="26">
        <f t="shared" si="12"/>
        <v>1.6099999999852344E-6</v>
      </c>
    </row>
    <row r="42" spans="2:22" x14ac:dyDescent="0.25">
      <c r="B42" s="8"/>
      <c r="C42" s="9">
        <v>11.01</v>
      </c>
      <c r="D42" s="9">
        <v>11.8</v>
      </c>
      <c r="E42" s="23" t="s">
        <v>10</v>
      </c>
      <c r="F42" s="8" t="s">
        <v>14</v>
      </c>
      <c r="G42" s="26"/>
      <c r="H42" s="8" t="s">
        <v>10</v>
      </c>
      <c r="I42" s="26"/>
      <c r="J42" s="10">
        <f t="shared" si="14"/>
        <v>0</v>
      </c>
      <c r="K42" s="32" t="str">
        <f t="shared" si="1"/>
        <v>NR</v>
      </c>
      <c r="M42" s="31">
        <f t="shared" si="7"/>
        <v>1</v>
      </c>
      <c r="N42" s="10">
        <f t="shared" si="8"/>
        <v>1</v>
      </c>
      <c r="O42" s="10">
        <f t="shared" si="9"/>
        <v>0</v>
      </c>
      <c r="P42" s="10">
        <f t="shared" si="10"/>
        <v>0</v>
      </c>
      <c r="Q42" s="9">
        <f t="array" ref="Q42">MIN(IF('Normen en duidingsklassen'!$E$13:$E$20&gt;=$J42,'Normen en duidingsklassen'!$E$13:$E$20))</f>
        <v>0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 t="shared" si="6"/>
        <v>0</v>
      </c>
      <c r="U42" s="10">
        <f t="shared" si="11"/>
        <v>0</v>
      </c>
      <c r="V42" s="26">
        <f t="shared" si="12"/>
        <v>0</v>
      </c>
    </row>
    <row r="43" spans="2:22" x14ac:dyDescent="0.25">
      <c r="B43" s="8" t="s">
        <v>159</v>
      </c>
      <c r="C43" s="9">
        <v>11.8</v>
      </c>
      <c r="D43" s="9">
        <v>11.81</v>
      </c>
      <c r="E43" s="23" t="s">
        <v>9</v>
      </c>
      <c r="F43" s="8" t="s">
        <v>15</v>
      </c>
      <c r="G43" s="26">
        <v>9.9999999999999995E-7</v>
      </c>
      <c r="H43" s="8" t="s">
        <v>10</v>
      </c>
      <c r="I43" s="26"/>
      <c r="J43" s="10">
        <f t="shared" si="14"/>
        <v>9.9999999999999995E-7</v>
      </c>
      <c r="K43" s="32" t="str">
        <f t="shared" si="1"/>
        <v>+II</v>
      </c>
      <c r="M43" s="31">
        <f t="shared" si="7"/>
        <v>0.99999899999999997</v>
      </c>
      <c r="N43" s="10">
        <f t="shared" si="8"/>
        <v>0.99999899999999997</v>
      </c>
      <c r="O43" s="10">
        <f t="shared" si="9"/>
        <v>3.0000000000000001E-6</v>
      </c>
      <c r="P43" s="10">
        <f t="shared" si="10"/>
        <v>3.0000000000000001E-6</v>
      </c>
      <c r="Q43" s="9">
        <f t="array" ref="Q43">MIN(IF('Normen en duidingsklassen'!$E$13:$E$20&gt;=$J43,'Normen en duidingsklassen'!$E$13:$E$20))</f>
        <v>3.3333333333333333E-6</v>
      </c>
      <c r="R43" s="9">
        <f>IFERROR(MATCH($Q43,'Normen en duidingsklassen'!$E$13:$E$20,0),1)</f>
        <v>2</v>
      </c>
      <c r="S43" s="9" t="str">
        <f>INDEX('Normen en duidingsklassen'!$D$13:$D$20,R43)</f>
        <v>+II</v>
      </c>
      <c r="T43" s="9" t="b">
        <f t="shared" si="6"/>
        <v>0</v>
      </c>
      <c r="U43" s="10">
        <f t="shared" si="11"/>
        <v>1.0000000000287557E-6</v>
      </c>
      <c r="V43" s="26">
        <f t="shared" si="12"/>
        <v>1.0000000000287557E-6</v>
      </c>
    </row>
    <row r="44" spans="2:22" x14ac:dyDescent="0.25">
      <c r="B44" s="8"/>
      <c r="C44" s="9">
        <v>11.81</v>
      </c>
      <c r="D44" s="9">
        <v>13</v>
      </c>
      <c r="E44" s="23" t="s">
        <v>10</v>
      </c>
      <c r="F44" s="8" t="s">
        <v>14</v>
      </c>
      <c r="G44" s="26"/>
      <c r="H44" s="8" t="s">
        <v>10</v>
      </c>
      <c r="I44" s="26"/>
      <c r="J44" s="10">
        <f t="shared" si="14"/>
        <v>0</v>
      </c>
      <c r="K44" s="32" t="str">
        <f t="shared" si="1"/>
        <v>NR</v>
      </c>
      <c r="M44" s="31">
        <f t="shared" si="7"/>
        <v>1</v>
      </c>
      <c r="N44" s="10">
        <f t="shared" si="8"/>
        <v>1</v>
      </c>
      <c r="O44" s="10">
        <f t="shared" si="9"/>
        <v>0</v>
      </c>
      <c r="P44" s="10">
        <f t="shared" si="10"/>
        <v>0</v>
      </c>
      <c r="Q44" s="9">
        <f t="array" ref="Q44">MIN(IF('Normen en duidingsklassen'!$E$13:$E$20&gt;=$J44,'Normen en duidingsklassen'!$E$13:$E$20))</f>
        <v>0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 t="shared" si="6"/>
        <v>0</v>
      </c>
      <c r="U44" s="10">
        <f t="shared" si="11"/>
        <v>0</v>
      </c>
      <c r="V44" s="26">
        <f t="shared" si="12"/>
        <v>0</v>
      </c>
    </row>
    <row r="45" spans="2:22" x14ac:dyDescent="0.25">
      <c r="B45" s="8" t="s">
        <v>160</v>
      </c>
      <c r="C45" s="9">
        <v>13</v>
      </c>
      <c r="D45" s="9">
        <v>13.01</v>
      </c>
      <c r="E45" s="23" t="s">
        <v>9</v>
      </c>
      <c r="F45" s="8" t="s">
        <v>15</v>
      </c>
      <c r="G45" s="26">
        <v>4.7600000000000002E-6</v>
      </c>
      <c r="H45" s="8" t="s">
        <v>10</v>
      </c>
      <c r="I45" s="26"/>
      <c r="J45" s="10">
        <f t="shared" si="14"/>
        <v>4.7600000000000002E-6</v>
      </c>
      <c r="K45" s="32" t="str">
        <f t="shared" si="1"/>
        <v>+I</v>
      </c>
      <c r="M45" s="31">
        <f t="shared" si="7"/>
        <v>0.99999523999999995</v>
      </c>
      <c r="N45" s="10">
        <f t="shared" si="8"/>
        <v>0.99999523999999995</v>
      </c>
      <c r="O45" s="10">
        <f t="shared" si="9"/>
        <v>1.428E-5</v>
      </c>
      <c r="P45" s="10">
        <f t="shared" si="10"/>
        <v>1.428E-5</v>
      </c>
      <c r="Q45" s="9">
        <f t="array" ref="Q45">MIN(IF('Normen en duidingsklassen'!$E$13:$E$20&gt;=$J45,'Normen en duidingsklassen'!$E$13:$E$20))</f>
        <v>3.3333333333333335E-5</v>
      </c>
      <c r="R45" s="9">
        <f>IFERROR(MATCH($Q45,'Normen en duidingsklassen'!$E$13:$E$20,0),1)</f>
        <v>3</v>
      </c>
      <c r="S45" s="9" t="str">
        <f>INDEX('Normen en duidingsklassen'!$D$13:$D$20,R45)</f>
        <v>+I</v>
      </c>
      <c r="T45" s="9" t="b">
        <f t="shared" si="6"/>
        <v>0</v>
      </c>
      <c r="U45" s="10">
        <f t="shared" si="11"/>
        <v>4.7600000000480591E-6</v>
      </c>
      <c r="V45" s="26">
        <f t="shared" si="12"/>
        <v>4.7600000000480591E-6</v>
      </c>
    </row>
    <row r="46" spans="2:22" x14ac:dyDescent="0.25">
      <c r="B46" s="8"/>
      <c r="C46" s="9">
        <v>13.01</v>
      </c>
      <c r="D46" s="9">
        <v>13.4</v>
      </c>
      <c r="E46" s="23" t="s">
        <v>10</v>
      </c>
      <c r="F46" s="8" t="s">
        <v>14</v>
      </c>
      <c r="G46" s="26"/>
      <c r="H46" s="8" t="s">
        <v>10</v>
      </c>
      <c r="I46" s="26"/>
      <c r="J46" s="10">
        <f t="shared" si="14"/>
        <v>0</v>
      </c>
      <c r="K46" s="32" t="str">
        <f t="shared" si="1"/>
        <v>NR</v>
      </c>
      <c r="M46" s="31">
        <f t="shared" si="7"/>
        <v>1</v>
      </c>
      <c r="N46" s="10">
        <f t="shared" si="8"/>
        <v>1</v>
      </c>
      <c r="O46" s="10">
        <f t="shared" si="9"/>
        <v>0</v>
      </c>
      <c r="P46" s="10">
        <f t="shared" si="10"/>
        <v>0</v>
      </c>
      <c r="Q46" s="9">
        <f t="array" ref="Q46">MIN(IF('Normen en duidingsklassen'!$E$13:$E$20&gt;=$J46,'Normen en duidingsklassen'!$E$13:$E$20))</f>
        <v>0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 t="shared" si="6"/>
        <v>0</v>
      </c>
      <c r="U46" s="10">
        <f t="shared" si="11"/>
        <v>0</v>
      </c>
      <c r="V46" s="26">
        <f t="shared" si="12"/>
        <v>0</v>
      </c>
    </row>
    <row r="47" spans="2:22" x14ac:dyDescent="0.25">
      <c r="B47" s="8" t="s">
        <v>161</v>
      </c>
      <c r="C47" s="9">
        <v>13.4</v>
      </c>
      <c r="D47" s="9">
        <v>13.41</v>
      </c>
      <c r="E47" s="23" t="s">
        <v>9</v>
      </c>
      <c r="F47" s="8" t="s">
        <v>15</v>
      </c>
      <c r="G47" s="26">
        <v>2.6299999999999998E-6</v>
      </c>
      <c r="H47" s="8" t="s">
        <v>10</v>
      </c>
      <c r="I47" s="26"/>
      <c r="J47" s="10">
        <f t="shared" si="14"/>
        <v>2.6299999999999998E-6</v>
      </c>
      <c r="K47" s="32" t="str">
        <f t="shared" si="1"/>
        <v>+II</v>
      </c>
      <c r="M47" s="31">
        <f t="shared" si="7"/>
        <v>0.99999737</v>
      </c>
      <c r="N47" s="10">
        <f t="shared" si="8"/>
        <v>0.99999737</v>
      </c>
      <c r="O47" s="10">
        <f t="shared" si="9"/>
        <v>7.889999999999999E-6</v>
      </c>
      <c r="P47" s="10">
        <f t="shared" si="10"/>
        <v>7.889999999999999E-6</v>
      </c>
      <c r="Q47" s="9">
        <f t="array" ref="Q47">MIN(IF('Normen en duidingsklassen'!$E$13:$E$20&gt;=$J47,'Normen en duidingsklassen'!$E$13:$E$20))</f>
        <v>3.3333333333333333E-6</v>
      </c>
      <c r="R47" s="9">
        <f>IFERROR(MATCH($Q47,'Normen en duidingsklassen'!$E$13:$E$20,0),1)</f>
        <v>2</v>
      </c>
      <c r="S47" s="9" t="str">
        <f>INDEX('Normen en duidingsklassen'!$D$13:$D$20,R47)</f>
        <v>+II</v>
      </c>
      <c r="T47" s="9" t="b">
        <f t="shared" si="6"/>
        <v>0</v>
      </c>
      <c r="U47" s="10">
        <f t="shared" si="11"/>
        <v>2.6300000000034629E-6</v>
      </c>
      <c r="V47" s="26">
        <f t="shared" si="12"/>
        <v>2.6300000000034629E-6</v>
      </c>
    </row>
    <row r="48" spans="2:22" x14ac:dyDescent="0.25">
      <c r="B48" s="8"/>
      <c r="C48" s="9">
        <v>13.41</v>
      </c>
      <c r="D48" s="9">
        <v>13.9</v>
      </c>
      <c r="E48" s="23" t="s">
        <v>10</v>
      </c>
      <c r="F48" s="8" t="s">
        <v>14</v>
      </c>
      <c r="G48" s="26"/>
      <c r="H48" s="8" t="s">
        <v>10</v>
      </c>
      <c r="I48" s="26"/>
      <c r="J48" s="10">
        <f t="shared" si="14"/>
        <v>0</v>
      </c>
      <c r="K48" s="32" t="str">
        <f t="shared" si="1"/>
        <v>NR</v>
      </c>
      <c r="M48" s="31">
        <f t="shared" si="7"/>
        <v>1</v>
      </c>
      <c r="N48" s="10">
        <f t="shared" si="8"/>
        <v>1</v>
      </c>
      <c r="O48" s="10">
        <f t="shared" si="9"/>
        <v>0</v>
      </c>
      <c r="P48" s="10">
        <f t="shared" si="10"/>
        <v>0</v>
      </c>
      <c r="Q48" s="9">
        <f t="array" ref="Q48">MIN(IF('Normen en duidingsklassen'!$E$13:$E$20&gt;=$J48,'Normen en duidingsklassen'!$E$13:$E$20))</f>
        <v>0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 t="shared" si="6"/>
        <v>0</v>
      </c>
      <c r="U48" s="10">
        <f t="shared" si="11"/>
        <v>0</v>
      </c>
      <c r="V48" s="26">
        <f t="shared" si="12"/>
        <v>0</v>
      </c>
    </row>
    <row r="49" spans="2:22" x14ac:dyDescent="0.25">
      <c r="B49" s="8" t="s">
        <v>162</v>
      </c>
      <c r="C49" s="9">
        <v>13.9</v>
      </c>
      <c r="D49" s="9">
        <v>13.91</v>
      </c>
      <c r="E49" s="23" t="s">
        <v>9</v>
      </c>
      <c r="F49" s="8" t="s">
        <v>15</v>
      </c>
      <c r="G49" s="26">
        <v>5.0000000000000004E-6</v>
      </c>
      <c r="H49" s="8" t="s">
        <v>10</v>
      </c>
      <c r="I49" s="26"/>
      <c r="J49" s="10">
        <f t="shared" si="14"/>
        <v>5.0000000000000004E-6</v>
      </c>
      <c r="K49" s="32" t="str">
        <f t="shared" si="1"/>
        <v>+I</v>
      </c>
      <c r="M49" s="31">
        <f t="shared" si="7"/>
        <v>0.99999499999999997</v>
      </c>
      <c r="N49" s="10">
        <f t="shared" si="8"/>
        <v>0.99999499999999997</v>
      </c>
      <c r="O49" s="10">
        <f t="shared" si="9"/>
        <v>1.5000000000000002E-5</v>
      </c>
      <c r="P49" s="10">
        <f t="shared" si="10"/>
        <v>1.5000000000000002E-5</v>
      </c>
      <c r="Q49" s="9">
        <f t="array" ref="Q49">MIN(IF('Normen en duidingsklassen'!$E$13:$E$20&gt;=$J49,'Normen en duidingsklassen'!$E$13:$E$20))</f>
        <v>3.3333333333333335E-5</v>
      </c>
      <c r="R49" s="9">
        <f>IFERROR(MATCH($Q49,'Normen en duidingsklassen'!$E$13:$E$20,0),1)</f>
        <v>3</v>
      </c>
      <c r="S49" s="9" t="str">
        <f>INDEX('Normen en duidingsklassen'!$D$13:$D$20,R49)</f>
        <v>+I</v>
      </c>
      <c r="T49" s="9" t="b">
        <f t="shared" si="6"/>
        <v>0</v>
      </c>
      <c r="U49" s="10">
        <f t="shared" si="11"/>
        <v>5.000000000032756E-6</v>
      </c>
      <c r="V49" s="26">
        <f t="shared" si="12"/>
        <v>5.000000000032756E-6</v>
      </c>
    </row>
    <row r="50" spans="2:22" x14ac:dyDescent="0.25">
      <c r="B50" s="8"/>
      <c r="C50" s="9">
        <v>13.91</v>
      </c>
      <c r="D50" s="9">
        <v>14.2</v>
      </c>
      <c r="E50" s="23" t="s">
        <v>10</v>
      </c>
      <c r="F50" s="8" t="s">
        <v>14</v>
      </c>
      <c r="G50" s="26"/>
      <c r="H50" s="8" t="s">
        <v>10</v>
      </c>
      <c r="I50" s="26"/>
      <c r="J50" s="10">
        <f t="shared" si="14"/>
        <v>0</v>
      </c>
      <c r="K50" s="32" t="str">
        <f t="shared" si="1"/>
        <v>NR</v>
      </c>
      <c r="M50" s="31">
        <f t="shared" si="7"/>
        <v>1</v>
      </c>
      <c r="N50" s="10">
        <f t="shared" si="8"/>
        <v>1</v>
      </c>
      <c r="O50" s="10">
        <f t="shared" si="9"/>
        <v>0</v>
      </c>
      <c r="P50" s="10">
        <f t="shared" si="10"/>
        <v>0</v>
      </c>
      <c r="Q50" s="9">
        <f t="array" ref="Q50">MIN(IF('Normen en duidingsklassen'!$E$13:$E$20&gt;=$J50,'Normen en duidingsklassen'!$E$13:$E$20))</f>
        <v>0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 t="shared" si="6"/>
        <v>0</v>
      </c>
      <c r="U50" s="10">
        <f t="shared" si="11"/>
        <v>0</v>
      </c>
      <c r="V50" s="26">
        <f t="shared" si="12"/>
        <v>0</v>
      </c>
    </row>
    <row r="51" spans="2:22" x14ac:dyDescent="0.25">
      <c r="B51" s="8" t="s">
        <v>163</v>
      </c>
      <c r="C51" s="9">
        <v>14.2</v>
      </c>
      <c r="D51" s="9">
        <v>14.21</v>
      </c>
      <c r="E51" s="23" t="s">
        <v>9</v>
      </c>
      <c r="F51" s="8" t="s">
        <v>15</v>
      </c>
      <c r="G51" s="26">
        <v>9.9999999999999995E-7</v>
      </c>
      <c r="H51" s="8" t="s">
        <v>10</v>
      </c>
      <c r="I51" s="26"/>
      <c r="J51" s="10">
        <f t="shared" si="14"/>
        <v>9.9999999999999995E-7</v>
      </c>
      <c r="K51" s="32" t="str">
        <f t="shared" si="1"/>
        <v>+II</v>
      </c>
      <c r="M51" s="31">
        <f t="shared" si="7"/>
        <v>0.99999899999999997</v>
      </c>
      <c r="N51" s="10">
        <f t="shared" si="8"/>
        <v>0.99999899999999997</v>
      </c>
      <c r="O51" s="10">
        <f t="shared" si="9"/>
        <v>3.0000000000000001E-6</v>
      </c>
      <c r="P51" s="10">
        <f t="shared" si="10"/>
        <v>3.0000000000000001E-6</v>
      </c>
      <c r="Q51" s="9">
        <f t="array" ref="Q51">MIN(IF('Normen en duidingsklassen'!$E$13:$E$20&gt;=$J51,'Normen en duidingsklassen'!$E$13:$E$20))</f>
        <v>3.3333333333333333E-6</v>
      </c>
      <c r="R51" s="9">
        <f>IFERROR(MATCH($Q51,'Normen en duidingsklassen'!$E$13:$E$20,0),1)</f>
        <v>2</v>
      </c>
      <c r="S51" s="9" t="str">
        <f>INDEX('Normen en duidingsklassen'!$D$13:$D$20,R51)</f>
        <v>+II</v>
      </c>
      <c r="T51" s="9" t="b">
        <f t="shared" si="6"/>
        <v>0</v>
      </c>
      <c r="U51" s="10">
        <f t="shared" si="11"/>
        <v>1.0000000000287557E-6</v>
      </c>
      <c r="V51" s="26">
        <f t="shared" si="12"/>
        <v>1.0000000000287557E-6</v>
      </c>
    </row>
    <row r="52" spans="2:22" x14ac:dyDescent="0.25">
      <c r="B52" s="8"/>
      <c r="C52" s="9">
        <v>14.21</v>
      </c>
      <c r="D52" s="9">
        <v>15</v>
      </c>
      <c r="E52" s="23" t="s">
        <v>10</v>
      </c>
      <c r="F52" s="8" t="s">
        <v>14</v>
      </c>
      <c r="G52" s="26"/>
      <c r="H52" s="8" t="s">
        <v>10</v>
      </c>
      <c r="I52" s="26"/>
      <c r="J52" s="10">
        <f t="shared" si="14"/>
        <v>0</v>
      </c>
      <c r="K52" s="32" t="str">
        <f t="shared" si="1"/>
        <v>NR</v>
      </c>
      <c r="M52" s="31">
        <f t="shared" si="7"/>
        <v>1</v>
      </c>
      <c r="N52" s="10">
        <f t="shared" si="8"/>
        <v>1</v>
      </c>
      <c r="O52" s="10">
        <f t="shared" si="9"/>
        <v>0</v>
      </c>
      <c r="P52" s="10">
        <f t="shared" si="10"/>
        <v>0</v>
      </c>
      <c r="Q52" s="9">
        <f t="array" ref="Q52">MIN(IF('Normen en duidingsklassen'!$E$13:$E$20&gt;=$J52,'Normen en duidingsklassen'!$E$13:$E$20))</f>
        <v>0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 t="shared" si="6"/>
        <v>0</v>
      </c>
      <c r="U52" s="10">
        <f t="shared" si="11"/>
        <v>0</v>
      </c>
      <c r="V52" s="26">
        <f t="shared" si="12"/>
        <v>0</v>
      </c>
    </row>
    <row r="53" spans="2:22" x14ac:dyDescent="0.25">
      <c r="B53" s="8" t="s">
        <v>164</v>
      </c>
      <c r="C53" s="9">
        <v>15</v>
      </c>
      <c r="D53" s="9">
        <v>15.01</v>
      </c>
      <c r="E53" s="23" t="s">
        <v>9</v>
      </c>
      <c r="F53" s="8" t="s">
        <v>15</v>
      </c>
      <c r="G53" s="26">
        <v>9.9999999999999995E-7</v>
      </c>
      <c r="H53" s="8" t="s">
        <v>10</v>
      </c>
      <c r="I53" s="26"/>
      <c r="J53" s="10">
        <f t="shared" si="14"/>
        <v>9.9999999999999995E-7</v>
      </c>
      <c r="K53" s="32" t="str">
        <f t="shared" si="1"/>
        <v>+II</v>
      </c>
      <c r="M53" s="31">
        <f t="shared" si="7"/>
        <v>0.99999899999999997</v>
      </c>
      <c r="N53" s="10">
        <f t="shared" si="8"/>
        <v>0.99999899999999997</v>
      </c>
      <c r="O53" s="10">
        <f t="shared" si="9"/>
        <v>3.0000000000000001E-6</v>
      </c>
      <c r="P53" s="10">
        <f t="shared" si="10"/>
        <v>3.0000000000000001E-6</v>
      </c>
      <c r="Q53" s="9">
        <f t="array" ref="Q53">MIN(IF('Normen en duidingsklassen'!$E$13:$E$20&gt;=$J53,'Normen en duidingsklassen'!$E$13:$E$20))</f>
        <v>3.3333333333333333E-6</v>
      </c>
      <c r="R53" s="9">
        <f>IFERROR(MATCH($Q53,'Normen en duidingsklassen'!$E$13:$E$20,0),1)</f>
        <v>2</v>
      </c>
      <c r="S53" s="9" t="str">
        <f>INDEX('Normen en duidingsklassen'!$D$13:$D$20,R53)</f>
        <v>+II</v>
      </c>
      <c r="T53" s="9" t="b">
        <f t="shared" si="6"/>
        <v>0</v>
      </c>
      <c r="U53" s="10">
        <f t="shared" si="11"/>
        <v>1.0000000000287557E-6</v>
      </c>
      <c r="V53" s="26">
        <f t="shared" si="12"/>
        <v>1.0000000000287557E-6</v>
      </c>
    </row>
    <row r="54" spans="2:22" x14ac:dyDescent="0.25">
      <c r="B54" s="8"/>
      <c r="C54" s="9">
        <v>15.01</v>
      </c>
      <c r="D54" s="9">
        <v>15.7</v>
      </c>
      <c r="E54" s="23" t="s">
        <v>10</v>
      </c>
      <c r="F54" s="8" t="s">
        <v>14</v>
      </c>
      <c r="G54" s="26"/>
      <c r="H54" s="8" t="s">
        <v>10</v>
      </c>
      <c r="I54" s="26"/>
      <c r="J54" s="10">
        <f t="shared" si="14"/>
        <v>0</v>
      </c>
      <c r="K54" s="32" t="str">
        <f t="shared" si="1"/>
        <v>NR</v>
      </c>
      <c r="M54" s="31">
        <f t="shared" si="7"/>
        <v>1</v>
      </c>
      <c r="N54" s="10">
        <f t="shared" si="8"/>
        <v>1</v>
      </c>
      <c r="O54" s="10">
        <f t="shared" si="9"/>
        <v>0</v>
      </c>
      <c r="P54" s="10">
        <f t="shared" si="10"/>
        <v>0</v>
      </c>
      <c r="Q54" s="9">
        <f t="array" ref="Q54">MIN(IF('Normen en duidingsklassen'!$E$13:$E$20&gt;=$J54,'Normen en duidingsklassen'!$E$13:$E$20))</f>
        <v>0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9" t="b">
        <f t="shared" si="6"/>
        <v>0</v>
      </c>
      <c r="U54" s="10">
        <f t="shared" si="11"/>
        <v>0</v>
      </c>
      <c r="V54" s="26">
        <f t="shared" si="12"/>
        <v>0</v>
      </c>
    </row>
    <row r="55" spans="2:22" x14ac:dyDescent="0.25">
      <c r="B55" s="8" t="s">
        <v>165</v>
      </c>
      <c r="C55" s="9">
        <v>15.7</v>
      </c>
      <c r="D55" s="9">
        <v>15.71</v>
      </c>
      <c r="E55" s="23" t="s">
        <v>9</v>
      </c>
      <c r="F55" s="8" t="s">
        <v>15</v>
      </c>
      <c r="G55" s="26">
        <v>9.9999999999999995E-7</v>
      </c>
      <c r="H55" s="8" t="s">
        <v>10</v>
      </c>
      <c r="I55" s="26"/>
      <c r="J55" s="10">
        <f t="shared" si="14"/>
        <v>9.9999999999999995E-7</v>
      </c>
      <c r="K55" s="32" t="str">
        <f t="shared" si="1"/>
        <v>+II</v>
      </c>
      <c r="M55" s="31">
        <f t="shared" si="7"/>
        <v>0.99999899999999997</v>
      </c>
      <c r="N55" s="10">
        <f t="shared" si="8"/>
        <v>0.99999899999999997</v>
      </c>
      <c r="O55" s="10">
        <f t="shared" si="9"/>
        <v>3.0000000000000001E-6</v>
      </c>
      <c r="P55" s="10">
        <f t="shared" si="10"/>
        <v>3.0000000000000001E-6</v>
      </c>
      <c r="Q55" s="9">
        <f t="array" ref="Q55">MIN(IF('Normen en duidingsklassen'!$E$13:$E$20&gt;=$J55,'Normen en duidingsklassen'!$E$13:$E$20))</f>
        <v>3.3333333333333333E-6</v>
      </c>
      <c r="R55" s="9">
        <f>IFERROR(MATCH($Q55,'Normen en duidingsklassen'!$E$13:$E$20,0),1)</f>
        <v>2</v>
      </c>
      <c r="S55" s="9" t="str">
        <f>INDEX('Normen en duidingsklassen'!$D$13:$D$20,R55)</f>
        <v>+II</v>
      </c>
      <c r="T55" s="9" t="b">
        <f t="shared" si="6"/>
        <v>0</v>
      </c>
      <c r="U55" s="10">
        <f t="shared" si="11"/>
        <v>1.0000000000287557E-6</v>
      </c>
      <c r="V55" s="26">
        <f t="shared" si="12"/>
        <v>1.0000000000287557E-6</v>
      </c>
    </row>
    <row r="56" spans="2:22" x14ac:dyDescent="0.25">
      <c r="B56" s="8"/>
      <c r="C56" s="9">
        <v>15.71</v>
      </c>
      <c r="D56" s="9">
        <v>16.100000000000001</v>
      </c>
      <c r="E56" s="23" t="s">
        <v>10</v>
      </c>
      <c r="F56" s="8" t="s">
        <v>14</v>
      </c>
      <c r="G56" s="26"/>
      <c r="H56" s="8" t="s">
        <v>10</v>
      </c>
      <c r="I56" s="26"/>
      <c r="J56" s="10">
        <f t="shared" si="14"/>
        <v>0</v>
      </c>
      <c r="K56" s="32" t="str">
        <f t="shared" si="1"/>
        <v>NR</v>
      </c>
      <c r="M56" s="31">
        <f t="shared" si="7"/>
        <v>1</v>
      </c>
      <c r="N56" s="10">
        <f t="shared" si="8"/>
        <v>1</v>
      </c>
      <c r="O56" s="10">
        <f t="shared" si="9"/>
        <v>0</v>
      </c>
      <c r="P56" s="10">
        <f t="shared" si="10"/>
        <v>0</v>
      </c>
      <c r="Q56" s="9">
        <f t="array" ref="Q56">MIN(IF('Normen en duidingsklassen'!$E$13:$E$20&gt;=$J56,'Normen en duidingsklassen'!$E$13:$E$20))</f>
        <v>0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9" t="b">
        <f t="shared" si="6"/>
        <v>0</v>
      </c>
      <c r="U56" s="10">
        <f t="shared" si="11"/>
        <v>0</v>
      </c>
      <c r="V56" s="26">
        <f t="shared" si="12"/>
        <v>0</v>
      </c>
    </row>
    <row r="57" spans="2:22" x14ac:dyDescent="0.25">
      <c r="B57" s="8" t="s">
        <v>166</v>
      </c>
      <c r="C57" s="9">
        <v>16.100000000000001</v>
      </c>
      <c r="D57" s="9">
        <v>16.11</v>
      </c>
      <c r="E57" s="23" t="s">
        <v>9</v>
      </c>
      <c r="F57" s="8" t="s">
        <v>15</v>
      </c>
      <c r="G57" s="26">
        <v>2.3800000000000001E-6</v>
      </c>
      <c r="H57" s="8" t="s">
        <v>10</v>
      </c>
      <c r="I57" s="26"/>
      <c r="J57" s="10">
        <f t="shared" si="14"/>
        <v>2.3800000000000001E-6</v>
      </c>
      <c r="K57" s="32" t="str">
        <f t="shared" si="1"/>
        <v>+II</v>
      </c>
      <c r="M57" s="31">
        <f t="shared" si="7"/>
        <v>0.99999762000000003</v>
      </c>
      <c r="N57" s="10">
        <f t="shared" si="8"/>
        <v>0.99999762000000003</v>
      </c>
      <c r="O57" s="10">
        <f t="shared" si="9"/>
        <v>7.1400000000000002E-6</v>
      </c>
      <c r="P57" s="10">
        <f t="shared" si="10"/>
        <v>7.1400000000000002E-6</v>
      </c>
      <c r="Q57" s="9">
        <f t="array" ref="Q57">MIN(IF('Normen en duidingsklassen'!$E$13:$E$20&gt;=$J57,'Normen en duidingsklassen'!$E$13:$E$20))</f>
        <v>3.3333333333333333E-6</v>
      </c>
      <c r="R57" s="9">
        <f>IFERROR(MATCH($Q57,'Normen en duidingsklassen'!$E$13:$E$20,0),1)</f>
        <v>2</v>
      </c>
      <c r="S57" s="9" t="str">
        <f>INDEX('Normen en duidingsklassen'!$D$13:$D$20,R57)</f>
        <v>+II</v>
      </c>
      <c r="T57" s="9" t="b">
        <f t="shared" si="6"/>
        <v>0</v>
      </c>
      <c r="U57" s="10">
        <f t="shared" si="11"/>
        <v>2.3799999999685184E-6</v>
      </c>
      <c r="V57" s="26">
        <f t="shared" si="12"/>
        <v>2.3799999999685184E-6</v>
      </c>
    </row>
    <row r="58" spans="2:22" x14ac:dyDescent="0.25">
      <c r="B58" s="8"/>
      <c r="C58" s="9">
        <v>16.11</v>
      </c>
      <c r="D58" s="9">
        <v>16.7</v>
      </c>
      <c r="E58" s="23" t="s">
        <v>10</v>
      </c>
      <c r="F58" s="8" t="s">
        <v>14</v>
      </c>
      <c r="G58" s="26"/>
      <c r="H58" s="8" t="s">
        <v>10</v>
      </c>
      <c r="I58" s="26"/>
      <c r="J58" s="10">
        <f t="shared" si="14"/>
        <v>0</v>
      </c>
      <c r="K58" s="32" t="str">
        <f t="shared" si="1"/>
        <v>NR</v>
      </c>
      <c r="M58" s="31">
        <f t="shared" si="7"/>
        <v>1</v>
      </c>
      <c r="N58" s="10">
        <f t="shared" si="8"/>
        <v>1</v>
      </c>
      <c r="O58" s="10">
        <f t="shared" si="9"/>
        <v>0</v>
      </c>
      <c r="P58" s="10">
        <f t="shared" si="10"/>
        <v>0</v>
      </c>
      <c r="Q58" s="9">
        <f t="array" ref="Q58">MIN(IF('Normen en duidingsklassen'!$E$13:$E$20&gt;=$J58,'Normen en duidingsklassen'!$E$13:$E$20))</f>
        <v>0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9" t="b">
        <f t="shared" si="6"/>
        <v>0</v>
      </c>
      <c r="U58" s="10">
        <f t="shared" si="11"/>
        <v>0</v>
      </c>
      <c r="V58" s="26">
        <f t="shared" si="12"/>
        <v>0</v>
      </c>
    </row>
    <row r="59" spans="2:22" x14ac:dyDescent="0.25">
      <c r="B59" s="8" t="s">
        <v>167</v>
      </c>
      <c r="C59" s="9">
        <v>16.7</v>
      </c>
      <c r="D59" s="9">
        <v>16.71</v>
      </c>
      <c r="E59" s="23" t="s">
        <v>9</v>
      </c>
      <c r="F59" s="8" t="s">
        <v>15</v>
      </c>
      <c r="G59" s="26">
        <v>9.9999999999999995E-7</v>
      </c>
      <c r="H59" s="8" t="s">
        <v>10</v>
      </c>
      <c r="I59" s="26"/>
      <c r="J59" s="10">
        <f t="shared" si="14"/>
        <v>9.9999999999999995E-7</v>
      </c>
      <c r="K59" s="32" t="str">
        <f t="shared" si="1"/>
        <v>+II</v>
      </c>
      <c r="M59" s="31">
        <f t="shared" si="7"/>
        <v>0.99999899999999997</v>
      </c>
      <c r="N59" s="10">
        <f t="shared" si="8"/>
        <v>0.99999899999999997</v>
      </c>
      <c r="O59" s="10">
        <f t="shared" si="9"/>
        <v>3.0000000000000001E-6</v>
      </c>
      <c r="P59" s="10">
        <f t="shared" si="10"/>
        <v>3.0000000000000001E-6</v>
      </c>
      <c r="Q59" s="9">
        <f t="array" ref="Q59">MIN(IF('Normen en duidingsklassen'!$E$13:$E$20&gt;=$J59,'Normen en duidingsklassen'!$E$13:$E$20))</f>
        <v>3.3333333333333333E-6</v>
      </c>
      <c r="R59" s="9">
        <f>IFERROR(MATCH($Q59,'Normen en duidingsklassen'!$E$13:$E$20,0),1)</f>
        <v>2</v>
      </c>
      <c r="S59" s="9" t="str">
        <f>INDEX('Normen en duidingsklassen'!$D$13:$D$20,R59)</f>
        <v>+II</v>
      </c>
      <c r="T59" s="9" t="b">
        <f t="shared" si="6"/>
        <v>0</v>
      </c>
      <c r="U59" s="10">
        <f t="shared" si="11"/>
        <v>1.0000000000287557E-6</v>
      </c>
      <c r="V59" s="26">
        <f t="shared" si="12"/>
        <v>1.0000000000287557E-6</v>
      </c>
    </row>
    <row r="60" spans="2:22" x14ac:dyDescent="0.25">
      <c r="B60" s="8"/>
      <c r="C60" s="9">
        <v>16.71</v>
      </c>
      <c r="D60" s="9">
        <v>17.3</v>
      </c>
      <c r="E60" s="23" t="s">
        <v>10</v>
      </c>
      <c r="F60" s="8" t="s">
        <v>14</v>
      </c>
      <c r="G60" s="26"/>
      <c r="H60" s="8" t="s">
        <v>10</v>
      </c>
      <c r="I60" s="26"/>
      <c r="J60" s="10">
        <f t="shared" si="14"/>
        <v>0</v>
      </c>
      <c r="K60" s="32" t="str">
        <f t="shared" si="1"/>
        <v>NR</v>
      </c>
      <c r="M60" s="31">
        <f t="shared" si="7"/>
        <v>1</v>
      </c>
      <c r="N60" s="10">
        <f t="shared" si="8"/>
        <v>1</v>
      </c>
      <c r="O60" s="10">
        <f t="shared" si="9"/>
        <v>0</v>
      </c>
      <c r="P60" s="10">
        <f t="shared" si="10"/>
        <v>0</v>
      </c>
      <c r="Q60" s="9">
        <f t="array" ref="Q60">MIN(IF('Normen en duidingsklassen'!$E$13:$E$20&gt;=$J60,'Normen en duidingsklassen'!$E$13:$E$20))</f>
        <v>0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9" t="b">
        <f t="shared" si="6"/>
        <v>0</v>
      </c>
      <c r="U60" s="10">
        <f t="shared" si="11"/>
        <v>0</v>
      </c>
      <c r="V60" s="26">
        <f t="shared" si="12"/>
        <v>0</v>
      </c>
    </row>
    <row r="61" spans="2:22" x14ac:dyDescent="0.25">
      <c r="B61" s="8" t="s">
        <v>168</v>
      </c>
      <c r="C61" s="9">
        <v>17.3</v>
      </c>
      <c r="D61" s="9">
        <v>17.309999999999999</v>
      </c>
      <c r="E61" s="23" t="s">
        <v>9</v>
      </c>
      <c r="F61" s="8" t="s">
        <v>15</v>
      </c>
      <c r="G61" s="26">
        <v>9.9999999999999995E-7</v>
      </c>
      <c r="H61" s="8" t="s">
        <v>10</v>
      </c>
      <c r="I61" s="26"/>
      <c r="J61" s="10">
        <f t="shared" si="14"/>
        <v>9.9999999999999995E-7</v>
      </c>
      <c r="K61" s="32" t="str">
        <f t="shared" si="1"/>
        <v>+II</v>
      </c>
      <c r="M61" s="31">
        <f t="shared" si="7"/>
        <v>0.99999899999999997</v>
      </c>
      <c r="N61" s="10">
        <f t="shared" si="8"/>
        <v>0.99999899999999997</v>
      </c>
      <c r="O61" s="10">
        <f t="shared" si="9"/>
        <v>3.0000000000000001E-6</v>
      </c>
      <c r="P61" s="10">
        <f t="shared" si="10"/>
        <v>3.0000000000000001E-6</v>
      </c>
      <c r="Q61" s="9">
        <f t="array" ref="Q61">MIN(IF('Normen en duidingsklassen'!$E$13:$E$20&gt;=$J61,'Normen en duidingsklassen'!$E$13:$E$20))</f>
        <v>3.3333333333333333E-6</v>
      </c>
      <c r="R61" s="9">
        <f>IFERROR(MATCH($Q61,'Normen en duidingsklassen'!$E$13:$E$20,0),1)</f>
        <v>2</v>
      </c>
      <c r="S61" s="9" t="str">
        <f>INDEX('Normen en duidingsklassen'!$D$13:$D$20,R61)</f>
        <v>+II</v>
      </c>
      <c r="T61" s="9" t="b">
        <f t="shared" si="6"/>
        <v>0</v>
      </c>
      <c r="U61" s="10">
        <f t="shared" si="11"/>
        <v>1.0000000000287557E-6</v>
      </c>
      <c r="V61" s="26">
        <f t="shared" si="12"/>
        <v>1.0000000000287557E-6</v>
      </c>
    </row>
    <row r="62" spans="2:22" x14ac:dyDescent="0.25">
      <c r="B62" s="8"/>
      <c r="C62" s="9">
        <v>17.309999999999999</v>
      </c>
      <c r="D62" s="9">
        <v>17.5</v>
      </c>
      <c r="E62" s="23" t="s">
        <v>10</v>
      </c>
      <c r="F62" s="8" t="s">
        <v>14</v>
      </c>
      <c r="G62" s="26"/>
      <c r="H62" s="8" t="s">
        <v>10</v>
      </c>
      <c r="I62" s="26"/>
      <c r="J62" s="10">
        <f t="shared" si="14"/>
        <v>0</v>
      </c>
      <c r="K62" s="32" t="str">
        <f t="shared" si="1"/>
        <v>NR</v>
      </c>
      <c r="M62" s="31">
        <f t="shared" si="7"/>
        <v>1</v>
      </c>
      <c r="N62" s="10">
        <f t="shared" si="8"/>
        <v>1</v>
      </c>
      <c r="O62" s="10">
        <f t="shared" si="9"/>
        <v>0</v>
      </c>
      <c r="P62" s="10">
        <f t="shared" si="10"/>
        <v>0</v>
      </c>
      <c r="Q62" s="9">
        <f t="array" ref="Q62">MIN(IF('Normen en duidingsklassen'!$E$13:$E$20&gt;=$J62,'Normen en duidingsklassen'!$E$13:$E$20))</f>
        <v>0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9" t="b">
        <f t="shared" si="6"/>
        <v>0</v>
      </c>
      <c r="U62" s="10">
        <f t="shared" si="11"/>
        <v>0</v>
      </c>
      <c r="V62" s="26">
        <f t="shared" si="12"/>
        <v>0</v>
      </c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ht="15.75" thickBot="1" x14ac:dyDescent="0.3">
      <c r="B65" s="13"/>
      <c r="C65" s="14"/>
      <c r="D65" s="14"/>
      <c r="E65" s="24"/>
      <c r="F65" s="13"/>
      <c r="G65" s="27"/>
      <c r="H65" s="13"/>
      <c r="I65" s="27"/>
      <c r="J65" s="15"/>
      <c r="K65" s="34"/>
      <c r="M65" s="33"/>
      <c r="N65" s="15"/>
      <c r="O65" s="15"/>
      <c r="P65" s="15"/>
      <c r="Q65" s="14"/>
      <c r="R65" s="14"/>
      <c r="S65" s="14"/>
      <c r="T65" s="14"/>
      <c r="U65" s="14"/>
      <c r="V65" s="17"/>
    </row>
    <row r="66" spans="2:22" x14ac:dyDescent="0.25">
      <c r="M66" s="1"/>
    </row>
    <row r="67" spans="2:22" x14ac:dyDescent="0.25">
      <c r="M67" s="1"/>
    </row>
  </sheetData>
  <conditionalFormatting sqref="G16:G65">
    <cfRule type="expression" dxfId="59" priority="5">
      <formula>IF($E16="Nee",TRUE,FALSE)</formula>
    </cfRule>
  </conditionalFormatting>
  <conditionalFormatting sqref="I16:I65">
    <cfRule type="expression" dxfId="58" priority="4">
      <formula>IF($H16="Nee",TRUE,FALSE)</formula>
    </cfRule>
  </conditionalFormatting>
  <conditionalFormatting sqref="K16:K6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K16:K65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E66:E81 F16:F65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90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37</v>
      </c>
      <c r="C2" s="2" t="s">
        <v>75</v>
      </c>
    </row>
    <row r="3" spans="2:22" x14ac:dyDescent="0.25">
      <c r="B3" s="35" t="s">
        <v>33</v>
      </c>
      <c r="C3" s="7">
        <v>2</v>
      </c>
    </row>
    <row r="4" spans="2:22" x14ac:dyDescent="0.25">
      <c r="B4" s="39" t="s">
        <v>170</v>
      </c>
      <c r="C4" s="12" t="s">
        <v>10</v>
      </c>
    </row>
    <row r="5" spans="2:22" x14ac:dyDescent="0.25">
      <c r="B5" s="39" t="s">
        <v>172</v>
      </c>
      <c r="C5" s="12" t="s">
        <v>178</v>
      </c>
    </row>
    <row r="6" spans="2:22" x14ac:dyDescent="0.25">
      <c r="B6" s="39" t="s">
        <v>186</v>
      </c>
      <c r="C6" s="12" t="s">
        <v>10</v>
      </c>
    </row>
    <row r="7" spans="2:22" x14ac:dyDescent="0.25">
      <c r="B7" s="39" t="s">
        <v>36</v>
      </c>
      <c r="C7" s="26">
        <f>IFERROR(IF(C5="P1",1-PRODUCT(M16:M88),MAX(O16:O88)),"GR")</f>
        <v>4.88E-5</v>
      </c>
    </row>
    <row r="8" spans="2:22" x14ac:dyDescent="0.25">
      <c r="B8" s="39" t="s">
        <v>30</v>
      </c>
      <c r="C8" s="26">
        <f>IF(C5="P1",1-PRODUCT(N16:N88),MAX(P16:P88))</f>
        <v>4.88E-5</v>
      </c>
    </row>
    <row r="9" spans="2:22" x14ac:dyDescent="0.25">
      <c r="B9" s="39" t="s">
        <v>21</v>
      </c>
      <c r="C9" s="26">
        <f>IFERROR(MAX(U16:U88),"GR")</f>
        <v>2.4400000000035504E-5</v>
      </c>
    </row>
    <row r="10" spans="2:22" x14ac:dyDescent="0.25">
      <c r="B10" s="39" t="s">
        <v>174</v>
      </c>
      <c r="C10" s="26">
        <f>MAX(V16:V88)</f>
        <v>2.4400000000035504E-5</v>
      </c>
    </row>
    <row r="11" spans="2:22" x14ac:dyDescent="0.25">
      <c r="B11" s="39" t="s">
        <v>28</v>
      </c>
      <c r="C11" s="26">
        <f>IFERROR(1-PRODUCT(M16:M88),"GR")</f>
        <v>6.9517967803744973E-5</v>
      </c>
    </row>
    <row r="12" spans="2:22" ht="15.75" thickBot="1" x14ac:dyDescent="0.3">
      <c r="B12" s="40" t="s">
        <v>175</v>
      </c>
      <c r="C12" s="27">
        <f>1-PRODUCT(N16:N88)</f>
        <v>6.9517967803744973E-5</v>
      </c>
    </row>
    <row r="14" spans="2:22" ht="15.75" thickBot="1" x14ac:dyDescent="0.3">
      <c r="M14" t="s">
        <v>53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12</v>
      </c>
      <c r="G15" s="20" t="s">
        <v>5</v>
      </c>
      <c r="H15" s="18" t="s">
        <v>11</v>
      </c>
      <c r="I15" s="20" t="s">
        <v>7</v>
      </c>
      <c r="J15" s="19" t="s">
        <v>17</v>
      </c>
      <c r="K15" s="20" t="s">
        <v>19</v>
      </c>
      <c r="L15" s="2"/>
      <c r="M15" s="35" t="s">
        <v>31</v>
      </c>
      <c r="N15" s="36" t="s">
        <v>32</v>
      </c>
      <c r="O15" s="36" t="s">
        <v>68</v>
      </c>
      <c r="P15" s="36" t="s">
        <v>69</v>
      </c>
      <c r="Q15" s="37" t="s">
        <v>50</v>
      </c>
      <c r="R15" s="37" t="s">
        <v>51</v>
      </c>
      <c r="S15" s="4"/>
      <c r="T15" s="37" t="s">
        <v>52</v>
      </c>
      <c r="U15" s="37" t="s">
        <v>176</v>
      </c>
      <c r="V15" s="38" t="s">
        <v>177</v>
      </c>
    </row>
    <row r="16" spans="2:22" x14ac:dyDescent="0.25">
      <c r="B16" s="3"/>
      <c r="C16" s="4">
        <v>0</v>
      </c>
      <c r="D16" s="4">
        <v>1.4</v>
      </c>
      <c r="E16" s="22" t="s">
        <v>10</v>
      </c>
      <c r="F16" s="8" t="s">
        <v>14</v>
      </c>
      <c r="G16" s="25"/>
      <c r="H16" s="3" t="s">
        <v>10</v>
      </c>
      <c r="I16" s="25"/>
      <c r="J16" s="5">
        <f t="shared" ref="J16:J62" si="0">IF($E16="Nee",0,IF(H16="Ja",IF(ISNUMBER(I16),I16,"-"),IF(ISNUMBER(G16),G16,"-")))</f>
        <v>0</v>
      </c>
      <c r="K16" s="30" t="str">
        <f t="shared" ref="K16:K62" si="1">IF($E16="Nee","NR",IF(ISNUMBER($J16),S16,IF($T16,"D","ND")))</f>
        <v>NR</v>
      </c>
      <c r="M16" s="31">
        <f t="shared" ref="M16" si="2">IF(AND(F16="Geen faalkans",H16="Nee"),1,1-J16)</f>
        <v>1</v>
      </c>
      <c r="N16" s="10">
        <f t="shared" ref="N16" si="3">IF(J16="-",1,M16)</f>
        <v>1</v>
      </c>
      <c r="O16" s="10">
        <f t="shared" ref="O16" si="4">IF(AND(F16="Geen faalkans",H16="Nee"),0,J16*$C$3)</f>
        <v>0</v>
      </c>
      <c r="P16" s="10">
        <f t="shared" ref="P16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62" si="6"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ht="15.75" customHeight="1" x14ac:dyDescent="0.25">
      <c r="B17" s="8" t="s">
        <v>146</v>
      </c>
      <c r="C17" s="9">
        <v>1.4</v>
      </c>
      <c r="D17" s="9">
        <v>1.41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0"/>
        <v>9.9999999999999995E-7</v>
      </c>
      <c r="K17" s="32" t="str">
        <f t="shared" si="1"/>
        <v>+II</v>
      </c>
      <c r="M17" s="31">
        <f t="shared" ref="M17:M62" si="7">IF(AND(F17="Geen faalkans",H17="Nee"),1,1-J17)</f>
        <v>0.99999899999999997</v>
      </c>
      <c r="N17" s="10">
        <f t="shared" ref="N17:N62" si="8">IF(J17="-",1,M17)</f>
        <v>0.99999899999999997</v>
      </c>
      <c r="O17" s="10">
        <f t="shared" ref="O17:O62" si="9">IF(AND(F17="Geen faalkans",H17="Nee"),0,J17*$C$3)</f>
        <v>1.9999999999999999E-6</v>
      </c>
      <c r="P17" s="10">
        <f t="shared" ref="P17:P62" si="10">IF(J17="-",0,O17)</f>
        <v>1.9999999999999999E-6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6"/>
        <v>0</v>
      </c>
      <c r="U17" s="10">
        <f t="shared" ref="U17:U62" si="11">1-M17</f>
        <v>1.0000000000287557E-6</v>
      </c>
      <c r="V17" s="26">
        <f t="shared" ref="V17:V62" si="12">1-N17</f>
        <v>1.0000000000287557E-6</v>
      </c>
    </row>
    <row r="18" spans="2:22" ht="15.75" customHeight="1" x14ac:dyDescent="0.25">
      <c r="B18" s="8"/>
      <c r="C18" s="9">
        <v>1.41</v>
      </c>
      <c r="D18" s="9">
        <v>1.7</v>
      </c>
      <c r="E18" s="23" t="s">
        <v>10</v>
      </c>
      <c r="F18" s="8" t="s">
        <v>14</v>
      </c>
      <c r="G18" s="26"/>
      <c r="H18" s="8" t="s">
        <v>10</v>
      </c>
      <c r="I18" s="26"/>
      <c r="J18" s="10">
        <f t="shared" si="0"/>
        <v>0</v>
      </c>
      <c r="K18" s="32" t="str">
        <f t="shared" si="1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11"/>
        <v>0</v>
      </c>
      <c r="V18" s="26">
        <f t="shared" si="12"/>
        <v>0</v>
      </c>
    </row>
    <row r="19" spans="2:22" ht="15.75" customHeight="1" x14ac:dyDescent="0.25">
      <c r="B19" s="8" t="s">
        <v>147</v>
      </c>
      <c r="C19" s="9">
        <v>1.7</v>
      </c>
      <c r="D19" s="9">
        <v>1.71</v>
      </c>
      <c r="E19" s="23" t="s">
        <v>9</v>
      </c>
      <c r="F19" s="8" t="s">
        <v>15</v>
      </c>
      <c r="G19" s="26">
        <v>9.9999999999999995E-7</v>
      </c>
      <c r="H19" s="8" t="s">
        <v>10</v>
      </c>
      <c r="I19" s="26"/>
      <c r="J19" s="10">
        <f t="shared" si="0"/>
        <v>9.9999999999999995E-7</v>
      </c>
      <c r="K19" s="32" t="str">
        <f t="shared" si="1"/>
        <v>+II</v>
      </c>
      <c r="M19" s="31">
        <f t="shared" si="7"/>
        <v>0.99999899999999997</v>
      </c>
      <c r="N19" s="10">
        <f t="shared" si="8"/>
        <v>0.99999899999999997</v>
      </c>
      <c r="O19" s="10">
        <f t="shared" si="9"/>
        <v>1.9999999999999999E-6</v>
      </c>
      <c r="P19" s="10">
        <f t="shared" si="10"/>
        <v>1.9999999999999999E-6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9" t="b">
        <f t="shared" si="6"/>
        <v>0</v>
      </c>
      <c r="U19" s="10">
        <f t="shared" si="11"/>
        <v>1.0000000000287557E-6</v>
      </c>
      <c r="V19" s="26">
        <f t="shared" si="12"/>
        <v>1.0000000000287557E-6</v>
      </c>
    </row>
    <row r="20" spans="2:22" ht="15.75" customHeight="1" x14ac:dyDescent="0.25">
      <c r="B20" s="8"/>
      <c r="C20" s="9">
        <v>1.71</v>
      </c>
      <c r="D20" s="9">
        <v>2.5</v>
      </c>
      <c r="E20" s="23" t="s">
        <v>10</v>
      </c>
      <c r="F20" s="8" t="s">
        <v>14</v>
      </c>
      <c r="G20" s="26"/>
      <c r="H20" s="8" t="s">
        <v>10</v>
      </c>
      <c r="I20" s="26"/>
      <c r="J20" s="10">
        <f t="shared" si="0"/>
        <v>0</v>
      </c>
      <c r="K20" s="32" t="str">
        <f t="shared" si="1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11"/>
        <v>0</v>
      </c>
      <c r="V20" s="26">
        <f t="shared" si="12"/>
        <v>0</v>
      </c>
    </row>
    <row r="21" spans="2:22" ht="15.75" customHeight="1" x14ac:dyDescent="0.25">
      <c r="B21" s="8" t="s">
        <v>148</v>
      </c>
      <c r="C21" s="9">
        <v>2.5</v>
      </c>
      <c r="D21" s="9">
        <v>2.5099999999999998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0"/>
        <v>9.9999999999999995E-7</v>
      </c>
      <c r="K21" s="32" t="str">
        <f t="shared" si="1"/>
        <v>+II</v>
      </c>
      <c r="M21" s="31">
        <f t="shared" si="7"/>
        <v>0.99999899999999997</v>
      </c>
      <c r="N21" s="10">
        <f t="shared" si="8"/>
        <v>0.99999899999999997</v>
      </c>
      <c r="O21" s="10">
        <f t="shared" si="9"/>
        <v>1.9999999999999999E-6</v>
      </c>
      <c r="P21" s="10">
        <f t="shared" si="10"/>
        <v>1.9999999999999999E-6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6"/>
        <v>0</v>
      </c>
      <c r="U21" s="10">
        <f t="shared" si="11"/>
        <v>1.0000000000287557E-6</v>
      </c>
      <c r="V21" s="26">
        <f t="shared" si="12"/>
        <v>1.0000000000287557E-6</v>
      </c>
    </row>
    <row r="22" spans="2:22" ht="15.75" customHeight="1" x14ac:dyDescent="0.25">
      <c r="B22" s="8"/>
      <c r="C22" s="9">
        <v>2.5099999999999998</v>
      </c>
      <c r="D22" s="9">
        <v>2.8</v>
      </c>
      <c r="E22" s="23" t="s">
        <v>10</v>
      </c>
      <c r="F22" s="8" t="s">
        <v>14</v>
      </c>
      <c r="G22" s="26"/>
      <c r="H22" s="8" t="s">
        <v>10</v>
      </c>
      <c r="I22" s="26"/>
      <c r="J22" s="10">
        <f t="shared" si="0"/>
        <v>0</v>
      </c>
      <c r="K22" s="32" t="str">
        <f t="shared" si="1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11"/>
        <v>0</v>
      </c>
      <c r="V22" s="26">
        <f t="shared" si="12"/>
        <v>0</v>
      </c>
    </row>
    <row r="23" spans="2:22" ht="15.75" customHeight="1" x14ac:dyDescent="0.25">
      <c r="B23" s="8" t="s">
        <v>149</v>
      </c>
      <c r="C23" s="9">
        <v>2.8</v>
      </c>
      <c r="D23" s="9">
        <v>2.81</v>
      </c>
      <c r="E23" s="23" t="s">
        <v>9</v>
      </c>
      <c r="F23" s="8" t="s">
        <v>15</v>
      </c>
      <c r="G23" s="26">
        <v>9.9999999999999995E-7</v>
      </c>
      <c r="H23" s="8" t="s">
        <v>10</v>
      </c>
      <c r="I23" s="26"/>
      <c r="J23" s="10">
        <f t="shared" si="0"/>
        <v>9.9999999999999995E-7</v>
      </c>
      <c r="K23" s="32" t="str">
        <f t="shared" si="1"/>
        <v>+II</v>
      </c>
      <c r="M23" s="31">
        <f t="shared" si="7"/>
        <v>0.99999899999999997</v>
      </c>
      <c r="N23" s="10">
        <f t="shared" si="8"/>
        <v>0.99999899999999997</v>
      </c>
      <c r="O23" s="10">
        <f t="shared" si="9"/>
        <v>1.9999999999999999E-6</v>
      </c>
      <c r="P23" s="10">
        <f t="shared" si="10"/>
        <v>1.9999999999999999E-6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6"/>
        <v>0</v>
      </c>
      <c r="U23" s="10">
        <f t="shared" si="11"/>
        <v>1.0000000000287557E-6</v>
      </c>
      <c r="V23" s="26">
        <f t="shared" si="12"/>
        <v>1.0000000000287557E-6</v>
      </c>
    </row>
    <row r="24" spans="2:22" ht="15.75" customHeight="1" x14ac:dyDescent="0.25">
      <c r="B24" s="8"/>
      <c r="C24" s="9">
        <v>2.81</v>
      </c>
      <c r="D24" s="9">
        <v>5.9</v>
      </c>
      <c r="E24" s="23" t="s">
        <v>10</v>
      </c>
      <c r="F24" s="8" t="s">
        <v>14</v>
      </c>
      <c r="G24" s="26"/>
      <c r="H24" s="8" t="s">
        <v>10</v>
      </c>
      <c r="I24" s="26"/>
      <c r="J24" s="10">
        <f t="shared" si="0"/>
        <v>0</v>
      </c>
      <c r="K24" s="32" t="str">
        <f t="shared" si="1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11"/>
        <v>0</v>
      </c>
      <c r="V24" s="26">
        <f t="shared" si="12"/>
        <v>0</v>
      </c>
    </row>
    <row r="25" spans="2:22" ht="15.75" customHeight="1" x14ac:dyDescent="0.25">
      <c r="B25" s="8" t="s">
        <v>150</v>
      </c>
      <c r="C25" s="9">
        <v>5.9</v>
      </c>
      <c r="D25" s="9">
        <v>5.91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si="0"/>
        <v>9.9999999999999995E-7</v>
      </c>
      <c r="K25" s="32" t="str">
        <f t="shared" si="1"/>
        <v>+II</v>
      </c>
      <c r="M25" s="31">
        <f t="shared" si="7"/>
        <v>0.99999899999999997</v>
      </c>
      <c r="N25" s="10">
        <f t="shared" si="8"/>
        <v>0.99999899999999997</v>
      </c>
      <c r="O25" s="10">
        <f t="shared" si="9"/>
        <v>1.9999999999999999E-6</v>
      </c>
      <c r="P25" s="10">
        <f t="shared" si="10"/>
        <v>1.9999999999999999E-6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6"/>
        <v>0</v>
      </c>
      <c r="U25" s="10">
        <f t="shared" si="11"/>
        <v>1.0000000000287557E-6</v>
      </c>
      <c r="V25" s="26">
        <f t="shared" si="12"/>
        <v>1.0000000000287557E-6</v>
      </c>
    </row>
    <row r="26" spans="2:22" ht="15.75" customHeight="1" x14ac:dyDescent="0.25">
      <c r="B26" s="8"/>
      <c r="C26" s="9">
        <v>5.91</v>
      </c>
      <c r="D26" s="9">
        <v>6.7</v>
      </c>
      <c r="E26" s="23" t="s">
        <v>10</v>
      </c>
      <c r="F26" s="8" t="s">
        <v>14</v>
      </c>
      <c r="G26" s="26"/>
      <c r="H26" s="8" t="s">
        <v>10</v>
      </c>
      <c r="I26" s="26"/>
      <c r="J26" s="10">
        <f t="shared" si="0"/>
        <v>0</v>
      </c>
      <c r="K26" s="32" t="str">
        <f t="shared" si="1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11"/>
        <v>0</v>
      </c>
      <c r="V26" s="26">
        <f t="shared" si="12"/>
        <v>0</v>
      </c>
    </row>
    <row r="27" spans="2:22" ht="15.75" customHeight="1" x14ac:dyDescent="0.25">
      <c r="B27" s="8" t="s">
        <v>151</v>
      </c>
      <c r="C27" s="9">
        <v>6.7</v>
      </c>
      <c r="D27" s="9">
        <v>6.71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0"/>
        <v>9.9999999999999995E-7</v>
      </c>
      <c r="K27" s="32" t="str">
        <f t="shared" si="1"/>
        <v>+II</v>
      </c>
      <c r="M27" s="31">
        <f t="shared" si="7"/>
        <v>0.99999899999999997</v>
      </c>
      <c r="N27" s="10">
        <f t="shared" si="8"/>
        <v>0.99999899999999997</v>
      </c>
      <c r="O27" s="10">
        <f t="shared" si="9"/>
        <v>1.9999999999999999E-6</v>
      </c>
      <c r="P27" s="10">
        <f t="shared" si="10"/>
        <v>1.9999999999999999E-6</v>
      </c>
      <c r="Q27" s="9">
        <f t="array" ref="Q27">MIN(IF('Normen en duidingsklassen'!$E$13:$E$20&gt;=$J27,'Normen en duidingsklassen'!$E$13:$E$20))</f>
        <v>3.3333333333333333E-6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9" t="b">
        <f t="shared" si="6"/>
        <v>0</v>
      </c>
      <c r="U27" s="10">
        <f t="shared" si="11"/>
        <v>1.0000000000287557E-6</v>
      </c>
      <c r="V27" s="26">
        <f t="shared" si="12"/>
        <v>1.0000000000287557E-6</v>
      </c>
    </row>
    <row r="28" spans="2:22" ht="15.75" customHeight="1" x14ac:dyDescent="0.25">
      <c r="B28" s="8"/>
      <c r="C28" s="9">
        <v>6.71</v>
      </c>
      <c r="D28" s="9">
        <v>7.1</v>
      </c>
      <c r="E28" s="23" t="s">
        <v>10</v>
      </c>
      <c r="F28" s="8" t="s">
        <v>14</v>
      </c>
      <c r="G28" s="26"/>
      <c r="H28" s="8" t="s">
        <v>10</v>
      </c>
      <c r="I28" s="26"/>
      <c r="J28" s="10">
        <f t="shared" si="0"/>
        <v>0</v>
      </c>
      <c r="K28" s="32" t="str">
        <f t="shared" si="1"/>
        <v>NR</v>
      </c>
      <c r="M28" s="31">
        <f t="shared" si="7"/>
        <v>1</v>
      </c>
      <c r="N28" s="10">
        <f t="shared" si="8"/>
        <v>1</v>
      </c>
      <c r="O28" s="10">
        <f t="shared" si="9"/>
        <v>0</v>
      </c>
      <c r="P28" s="10">
        <f t="shared" si="10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6"/>
        <v>0</v>
      </c>
      <c r="U28" s="10">
        <f t="shared" si="11"/>
        <v>0</v>
      </c>
      <c r="V28" s="26">
        <f t="shared" si="12"/>
        <v>0</v>
      </c>
    </row>
    <row r="29" spans="2:22" ht="15.75" customHeight="1" x14ac:dyDescent="0.25">
      <c r="B29" s="8" t="s">
        <v>152</v>
      </c>
      <c r="C29" s="9">
        <v>7.1</v>
      </c>
      <c r="D29" s="9">
        <v>7.11</v>
      </c>
      <c r="E29" s="23" t="s">
        <v>9</v>
      </c>
      <c r="F29" s="8" t="s">
        <v>15</v>
      </c>
      <c r="G29" s="26">
        <v>9.9999999999999995E-7</v>
      </c>
      <c r="H29" s="8" t="s">
        <v>10</v>
      </c>
      <c r="I29" s="26"/>
      <c r="J29" s="10">
        <f t="shared" si="0"/>
        <v>9.9999999999999995E-7</v>
      </c>
      <c r="K29" s="32" t="str">
        <f t="shared" si="1"/>
        <v>+II</v>
      </c>
      <c r="M29" s="31">
        <f t="shared" si="7"/>
        <v>0.99999899999999997</v>
      </c>
      <c r="N29" s="10">
        <f t="shared" si="8"/>
        <v>0.99999899999999997</v>
      </c>
      <c r="O29" s="10">
        <f t="shared" si="9"/>
        <v>1.9999999999999999E-6</v>
      </c>
      <c r="P29" s="10">
        <f t="shared" si="10"/>
        <v>1.9999999999999999E-6</v>
      </c>
      <c r="Q29" s="9">
        <f t="array" ref="Q29">MIN(IF('Normen en duidingsklassen'!$E$13:$E$20&gt;=$J29,'Normen en duidingsklassen'!$E$13:$E$20))</f>
        <v>3.3333333333333333E-6</v>
      </c>
      <c r="R29" s="9">
        <f>IFERROR(MATCH($Q29,'Normen en duidingsklassen'!$E$13:$E$20,0),1)</f>
        <v>2</v>
      </c>
      <c r="S29" s="9" t="str">
        <f>INDEX('Normen en duidingsklassen'!$D$13:$D$20,R29)</f>
        <v>+II</v>
      </c>
      <c r="T29" s="9" t="b">
        <f t="shared" si="6"/>
        <v>0</v>
      </c>
      <c r="U29" s="10">
        <f t="shared" si="11"/>
        <v>1.0000000000287557E-6</v>
      </c>
      <c r="V29" s="26">
        <f t="shared" si="12"/>
        <v>1.0000000000287557E-6</v>
      </c>
    </row>
    <row r="30" spans="2:22" ht="15.75" customHeight="1" x14ac:dyDescent="0.25">
      <c r="B30" s="8"/>
      <c r="C30" s="9">
        <v>7.11</v>
      </c>
      <c r="D30" s="9">
        <v>7.7</v>
      </c>
      <c r="E30" s="23" t="s">
        <v>10</v>
      </c>
      <c r="F30" s="8" t="s">
        <v>14</v>
      </c>
      <c r="G30" s="26"/>
      <c r="H30" s="8" t="s">
        <v>10</v>
      </c>
      <c r="I30" s="26"/>
      <c r="J30" s="10">
        <f t="shared" si="0"/>
        <v>0</v>
      </c>
      <c r="K30" s="32" t="str">
        <f t="shared" si="1"/>
        <v>NR</v>
      </c>
      <c r="M30" s="31">
        <f t="shared" si="7"/>
        <v>1</v>
      </c>
      <c r="N30" s="10">
        <f t="shared" si="8"/>
        <v>1</v>
      </c>
      <c r="O30" s="10">
        <f t="shared" si="9"/>
        <v>0</v>
      </c>
      <c r="P30" s="10">
        <f t="shared" si="10"/>
        <v>0</v>
      </c>
      <c r="Q30" s="9">
        <f t="array" ref="Q30">MIN(IF('Normen en duidingsklassen'!$E$13:$E$20&gt;=$J30,'Normen en duidingsklassen'!$E$13:$E$20))</f>
        <v>0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11"/>
        <v>0</v>
      </c>
      <c r="V30" s="26">
        <f t="shared" si="12"/>
        <v>0</v>
      </c>
    </row>
    <row r="31" spans="2:22" ht="15.75" customHeight="1" x14ac:dyDescent="0.25">
      <c r="B31" s="8" t="s">
        <v>153</v>
      </c>
      <c r="C31" s="9">
        <v>7.7</v>
      </c>
      <c r="D31" s="9">
        <v>7.71</v>
      </c>
      <c r="E31" s="23" t="s">
        <v>9</v>
      </c>
      <c r="F31" s="8" t="s">
        <v>15</v>
      </c>
      <c r="G31" s="26">
        <v>1.4100000000000001E-6</v>
      </c>
      <c r="H31" s="8" t="s">
        <v>10</v>
      </c>
      <c r="I31" s="26"/>
      <c r="J31" s="10">
        <f t="shared" si="0"/>
        <v>1.4100000000000001E-6</v>
      </c>
      <c r="K31" s="32" t="str">
        <f t="shared" si="1"/>
        <v>+II</v>
      </c>
      <c r="M31" s="31">
        <f t="shared" si="7"/>
        <v>0.99999859000000002</v>
      </c>
      <c r="N31" s="10">
        <f t="shared" si="8"/>
        <v>0.99999859000000002</v>
      </c>
      <c r="O31" s="10">
        <f t="shared" si="9"/>
        <v>2.8200000000000001E-6</v>
      </c>
      <c r="P31" s="10">
        <f t="shared" si="10"/>
        <v>2.8200000000000001E-6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9" t="b">
        <f t="shared" si="6"/>
        <v>0</v>
      </c>
      <c r="U31" s="10">
        <f t="shared" si="11"/>
        <v>1.4099999999794832E-6</v>
      </c>
      <c r="V31" s="26">
        <f t="shared" si="12"/>
        <v>1.4099999999794832E-6</v>
      </c>
    </row>
    <row r="32" spans="2:22" ht="15.75" customHeight="1" x14ac:dyDescent="0.25">
      <c r="B32" s="8"/>
      <c r="C32" s="9">
        <v>7.71</v>
      </c>
      <c r="D32" s="9">
        <v>8.25</v>
      </c>
      <c r="E32" s="23" t="s">
        <v>10</v>
      </c>
      <c r="F32" s="8" t="s">
        <v>14</v>
      </c>
      <c r="G32" s="26"/>
      <c r="H32" s="8" t="s">
        <v>10</v>
      </c>
      <c r="I32" s="26"/>
      <c r="J32" s="10">
        <f t="shared" si="0"/>
        <v>0</v>
      </c>
      <c r="K32" s="32" t="str">
        <f t="shared" si="1"/>
        <v>NR</v>
      </c>
      <c r="M32" s="31">
        <f t="shared" si="7"/>
        <v>1</v>
      </c>
      <c r="N32" s="10">
        <f t="shared" si="8"/>
        <v>1</v>
      </c>
      <c r="O32" s="10">
        <f t="shared" si="9"/>
        <v>0</v>
      </c>
      <c r="P32" s="10">
        <f t="shared" si="10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11"/>
        <v>0</v>
      </c>
      <c r="V32" s="26">
        <f t="shared" si="12"/>
        <v>0</v>
      </c>
    </row>
    <row r="33" spans="2:22" ht="15.75" customHeight="1" x14ac:dyDescent="0.25">
      <c r="B33" s="8" t="s">
        <v>154</v>
      </c>
      <c r="C33" s="9">
        <v>8.25</v>
      </c>
      <c r="D33" s="9">
        <v>8.26</v>
      </c>
      <c r="E33" s="23" t="s">
        <v>9</v>
      </c>
      <c r="F33" s="8" t="s">
        <v>15</v>
      </c>
      <c r="G33" s="26">
        <v>9.9999999999999995E-7</v>
      </c>
      <c r="H33" s="8" t="s">
        <v>10</v>
      </c>
      <c r="I33" s="26"/>
      <c r="J33" s="10">
        <f t="shared" si="0"/>
        <v>9.9999999999999995E-7</v>
      </c>
      <c r="K33" s="32" t="str">
        <f t="shared" si="1"/>
        <v>+II</v>
      </c>
      <c r="M33" s="31">
        <f t="shared" si="7"/>
        <v>0.99999899999999997</v>
      </c>
      <c r="N33" s="10">
        <f t="shared" si="8"/>
        <v>0.99999899999999997</v>
      </c>
      <c r="O33" s="10">
        <f t="shared" si="9"/>
        <v>1.9999999999999999E-6</v>
      </c>
      <c r="P33" s="10">
        <f t="shared" si="10"/>
        <v>1.9999999999999999E-6</v>
      </c>
      <c r="Q33" s="9">
        <f t="array" ref="Q33">MIN(IF('Normen en duidingsklassen'!$E$13:$E$20&gt;=$J33,'Normen en duidingsklassen'!$E$13:$E$20))</f>
        <v>3.3333333333333333E-6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9" t="b">
        <f t="shared" si="6"/>
        <v>0</v>
      </c>
      <c r="U33" s="10">
        <f t="shared" si="11"/>
        <v>1.0000000000287557E-6</v>
      </c>
      <c r="V33" s="26">
        <f t="shared" si="12"/>
        <v>1.0000000000287557E-6</v>
      </c>
    </row>
    <row r="34" spans="2:22" ht="15.75" customHeight="1" x14ac:dyDescent="0.25">
      <c r="B34" s="8"/>
      <c r="C34" s="9">
        <v>8.26</v>
      </c>
      <c r="D34" s="9">
        <v>10</v>
      </c>
      <c r="E34" s="23" t="s">
        <v>10</v>
      </c>
      <c r="F34" s="8" t="s">
        <v>14</v>
      </c>
      <c r="G34" s="26"/>
      <c r="H34" s="8" t="s">
        <v>10</v>
      </c>
      <c r="I34" s="26"/>
      <c r="J34" s="10">
        <f t="shared" si="0"/>
        <v>0</v>
      </c>
      <c r="K34" s="32" t="str">
        <f t="shared" si="1"/>
        <v>NR</v>
      </c>
      <c r="M34" s="31">
        <f t="shared" si="7"/>
        <v>1</v>
      </c>
      <c r="N34" s="10">
        <f t="shared" si="8"/>
        <v>1</v>
      </c>
      <c r="O34" s="10">
        <f t="shared" si="9"/>
        <v>0</v>
      </c>
      <c r="P34" s="10">
        <f t="shared" si="10"/>
        <v>0</v>
      </c>
      <c r="Q34" s="9">
        <f t="array" ref="Q34">MIN(IF('Normen en duidingsklassen'!$E$13:$E$20&gt;=$J34,'Normen en duidingsklassen'!$E$13:$E$20))</f>
        <v>0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6"/>
        <v>0</v>
      </c>
      <c r="U34" s="10">
        <f t="shared" si="11"/>
        <v>0</v>
      </c>
      <c r="V34" s="26">
        <f t="shared" si="12"/>
        <v>0</v>
      </c>
    </row>
    <row r="35" spans="2:22" ht="15.75" customHeight="1" x14ac:dyDescent="0.25">
      <c r="B35" s="8" t="s">
        <v>155</v>
      </c>
      <c r="C35" s="9">
        <v>10</v>
      </c>
      <c r="D35" s="9">
        <v>10.01</v>
      </c>
      <c r="E35" s="23" t="s">
        <v>9</v>
      </c>
      <c r="F35" s="8" t="s">
        <v>15</v>
      </c>
      <c r="G35" s="26">
        <v>5.0000000000000004E-6</v>
      </c>
      <c r="H35" s="8" t="s">
        <v>10</v>
      </c>
      <c r="I35" s="26"/>
      <c r="J35" s="10">
        <f t="shared" si="0"/>
        <v>5.0000000000000004E-6</v>
      </c>
      <c r="K35" s="32" t="str">
        <f t="shared" si="1"/>
        <v>+I</v>
      </c>
      <c r="M35" s="31">
        <f t="shared" si="7"/>
        <v>0.99999499999999997</v>
      </c>
      <c r="N35" s="10">
        <f t="shared" si="8"/>
        <v>0.99999499999999997</v>
      </c>
      <c r="O35" s="10">
        <f t="shared" si="9"/>
        <v>1.0000000000000001E-5</v>
      </c>
      <c r="P35" s="10">
        <f t="shared" si="10"/>
        <v>1.0000000000000001E-5</v>
      </c>
      <c r="Q35" s="9">
        <f t="array" ref="Q35">MIN(IF('Normen en duidingsklassen'!$E$13:$E$20&gt;=$J35,'Normen en duidingsklassen'!$E$13:$E$20))</f>
        <v>3.3333333333333335E-5</v>
      </c>
      <c r="R35" s="9">
        <f>IFERROR(MATCH($Q35,'Normen en duidingsklassen'!$E$13:$E$20,0),1)</f>
        <v>3</v>
      </c>
      <c r="S35" s="9" t="str">
        <f>INDEX('Normen en duidingsklassen'!$D$13:$D$20,R35)</f>
        <v>+I</v>
      </c>
      <c r="T35" s="9" t="b">
        <f t="shared" si="6"/>
        <v>0</v>
      </c>
      <c r="U35" s="10">
        <f t="shared" si="11"/>
        <v>5.000000000032756E-6</v>
      </c>
      <c r="V35" s="26">
        <f t="shared" si="12"/>
        <v>5.000000000032756E-6</v>
      </c>
    </row>
    <row r="36" spans="2:22" ht="15.75" customHeight="1" x14ac:dyDescent="0.25">
      <c r="B36" s="8"/>
      <c r="C36" s="9">
        <v>10.01</v>
      </c>
      <c r="D36" s="9">
        <v>10.199999999999999</v>
      </c>
      <c r="E36" s="23" t="s">
        <v>10</v>
      </c>
      <c r="F36" s="8" t="s">
        <v>14</v>
      </c>
      <c r="G36" s="26"/>
      <c r="H36" s="8" t="s">
        <v>10</v>
      </c>
      <c r="I36" s="26"/>
      <c r="J36" s="10">
        <f t="shared" si="0"/>
        <v>0</v>
      </c>
      <c r="K36" s="32" t="str">
        <f t="shared" si="1"/>
        <v>NR</v>
      </c>
      <c r="M36" s="31">
        <f t="shared" si="7"/>
        <v>1</v>
      </c>
      <c r="N36" s="10">
        <f t="shared" si="8"/>
        <v>1</v>
      </c>
      <c r="O36" s="10">
        <f t="shared" si="9"/>
        <v>0</v>
      </c>
      <c r="P36" s="10">
        <f t="shared" si="10"/>
        <v>0</v>
      </c>
      <c r="Q36" s="9">
        <f t="array" ref="Q36">MIN(IF('Normen en duidingsklassen'!$E$13:$E$20&gt;=$J36,'Normen en duidingsklassen'!$E$13:$E$20))</f>
        <v>0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6"/>
        <v>0</v>
      </c>
      <c r="U36" s="10">
        <f t="shared" si="11"/>
        <v>0</v>
      </c>
      <c r="V36" s="26">
        <f t="shared" si="12"/>
        <v>0</v>
      </c>
    </row>
    <row r="37" spans="2:22" ht="15.75" customHeight="1" x14ac:dyDescent="0.25">
      <c r="B37" s="8" t="s">
        <v>156</v>
      </c>
      <c r="C37" s="9">
        <v>10.199999999999999</v>
      </c>
      <c r="D37" s="9">
        <v>10.210000000000001</v>
      </c>
      <c r="E37" s="23" t="s">
        <v>9</v>
      </c>
      <c r="F37" s="8" t="s">
        <v>15</v>
      </c>
      <c r="G37" s="26">
        <v>8.3299999999999999E-6</v>
      </c>
      <c r="H37" s="8" t="s">
        <v>10</v>
      </c>
      <c r="I37" s="26"/>
      <c r="J37" s="10">
        <f t="shared" si="0"/>
        <v>8.3299999999999999E-6</v>
      </c>
      <c r="K37" s="32" t="str">
        <f t="shared" si="1"/>
        <v>+I</v>
      </c>
      <c r="M37" s="31">
        <f t="shared" si="7"/>
        <v>0.99999167</v>
      </c>
      <c r="N37" s="10">
        <f t="shared" si="8"/>
        <v>0.99999167</v>
      </c>
      <c r="O37" s="10">
        <f t="shared" si="9"/>
        <v>1.666E-5</v>
      </c>
      <c r="P37" s="10">
        <f t="shared" si="10"/>
        <v>1.666E-5</v>
      </c>
      <c r="Q37" s="9">
        <f t="array" ref="Q37">MIN(IF('Normen en duidingsklassen'!$E$13:$E$20&gt;=$J37,'Normen en duidingsklassen'!$E$13:$E$20))</f>
        <v>3.3333333333333335E-5</v>
      </c>
      <c r="R37" s="9">
        <f>IFERROR(MATCH($Q37,'Normen en duidingsklassen'!$E$13:$E$20,0),1)</f>
        <v>3</v>
      </c>
      <c r="S37" s="9" t="str">
        <f>INDEX('Normen en duidingsklassen'!$D$13:$D$20,R37)</f>
        <v>+I</v>
      </c>
      <c r="T37" s="9" t="b">
        <f t="shared" si="6"/>
        <v>0</v>
      </c>
      <c r="U37" s="10">
        <f t="shared" si="11"/>
        <v>8.3300000000008367E-6</v>
      </c>
      <c r="V37" s="26">
        <f t="shared" si="12"/>
        <v>8.3300000000008367E-6</v>
      </c>
    </row>
    <row r="38" spans="2:22" ht="15.75" customHeight="1" x14ac:dyDescent="0.25">
      <c r="B38" s="8"/>
      <c r="C38" s="9">
        <v>10.210000000000001</v>
      </c>
      <c r="D38" s="9">
        <v>10.55</v>
      </c>
      <c r="E38" s="23" t="s">
        <v>10</v>
      </c>
      <c r="F38" s="8" t="s">
        <v>14</v>
      </c>
      <c r="G38" s="26"/>
      <c r="H38" s="8" t="s">
        <v>10</v>
      </c>
      <c r="I38" s="26"/>
      <c r="J38" s="10">
        <f t="shared" si="0"/>
        <v>0</v>
      </c>
      <c r="K38" s="32" t="str">
        <f t="shared" si="1"/>
        <v>NR</v>
      </c>
      <c r="M38" s="31">
        <f t="shared" si="7"/>
        <v>1</v>
      </c>
      <c r="N38" s="10">
        <f t="shared" si="8"/>
        <v>1</v>
      </c>
      <c r="O38" s="10">
        <f t="shared" si="9"/>
        <v>0</v>
      </c>
      <c r="P38" s="10">
        <f t="shared" si="10"/>
        <v>0</v>
      </c>
      <c r="Q38" s="9">
        <f t="array" ref="Q38">MIN(IF('Normen en duidingsklassen'!$E$13:$E$20&gt;=$J38,'Normen en duidingsklassen'!$E$13:$E$20))</f>
        <v>0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9" t="b">
        <f t="shared" si="6"/>
        <v>0</v>
      </c>
      <c r="U38" s="10">
        <f t="shared" si="11"/>
        <v>0</v>
      </c>
      <c r="V38" s="26">
        <f t="shared" si="12"/>
        <v>0</v>
      </c>
    </row>
    <row r="39" spans="2:22" ht="15.75" customHeight="1" x14ac:dyDescent="0.25">
      <c r="B39" s="8" t="s">
        <v>157</v>
      </c>
      <c r="C39" s="9">
        <v>10.55</v>
      </c>
      <c r="D39" s="9">
        <v>10.56</v>
      </c>
      <c r="E39" s="23" t="s">
        <v>9</v>
      </c>
      <c r="F39" s="8" t="s">
        <v>15</v>
      </c>
      <c r="G39" s="26">
        <v>2.44E-5</v>
      </c>
      <c r="H39" s="8" t="s">
        <v>10</v>
      </c>
      <c r="I39" s="26"/>
      <c r="J39" s="10">
        <f t="shared" si="0"/>
        <v>2.44E-5</v>
      </c>
      <c r="K39" s="32" t="str">
        <f t="shared" si="1"/>
        <v>+I</v>
      </c>
      <c r="M39" s="31">
        <f t="shared" si="7"/>
        <v>0.99997559999999996</v>
      </c>
      <c r="N39" s="10">
        <f t="shared" si="8"/>
        <v>0.99997559999999996</v>
      </c>
      <c r="O39" s="10">
        <f t="shared" si="9"/>
        <v>4.88E-5</v>
      </c>
      <c r="P39" s="10">
        <f t="shared" si="10"/>
        <v>4.88E-5</v>
      </c>
      <c r="Q39" s="9">
        <f t="array" ref="Q39">MIN(IF('Normen en duidingsklassen'!$E$13:$E$20&gt;=$J39,'Normen en duidingsklassen'!$E$13:$E$20))</f>
        <v>3.3333333333333335E-5</v>
      </c>
      <c r="R39" s="9">
        <f>IFERROR(MATCH($Q39,'Normen en duidingsklassen'!$E$13:$E$20,0),1)</f>
        <v>3</v>
      </c>
      <c r="S39" s="9" t="str">
        <f>INDEX('Normen en duidingsklassen'!$D$13:$D$20,R39)</f>
        <v>+I</v>
      </c>
      <c r="T39" s="9" t="b">
        <f t="shared" si="6"/>
        <v>0</v>
      </c>
      <c r="U39" s="10">
        <f t="shared" si="11"/>
        <v>2.4400000000035504E-5</v>
      </c>
      <c r="V39" s="26">
        <f t="shared" si="12"/>
        <v>2.4400000000035504E-5</v>
      </c>
    </row>
    <row r="40" spans="2:22" ht="15.75" customHeight="1" x14ac:dyDescent="0.25">
      <c r="B40" s="8"/>
      <c r="C40" s="9">
        <v>10.56</v>
      </c>
      <c r="D40" s="9">
        <v>11</v>
      </c>
      <c r="E40" s="23" t="s">
        <v>10</v>
      </c>
      <c r="F40" s="8" t="s">
        <v>14</v>
      </c>
      <c r="G40" s="26"/>
      <c r="H40" s="8" t="s">
        <v>10</v>
      </c>
      <c r="I40" s="26"/>
      <c r="J40" s="10">
        <f t="shared" si="0"/>
        <v>0</v>
      </c>
      <c r="K40" s="32" t="str">
        <f t="shared" si="1"/>
        <v>NR</v>
      </c>
      <c r="M40" s="31">
        <f t="shared" si="7"/>
        <v>1</v>
      </c>
      <c r="N40" s="10">
        <f t="shared" si="8"/>
        <v>1</v>
      </c>
      <c r="O40" s="10">
        <f t="shared" si="9"/>
        <v>0</v>
      </c>
      <c r="P40" s="10">
        <f t="shared" si="10"/>
        <v>0</v>
      </c>
      <c r="Q40" s="9">
        <f t="array" ref="Q40">MIN(IF('Normen en duidingsklassen'!$E$13:$E$20&gt;=$J40,'Normen en duidingsklassen'!$E$13:$E$20))</f>
        <v>0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 t="shared" si="6"/>
        <v>0</v>
      </c>
      <c r="U40" s="10">
        <f t="shared" si="11"/>
        <v>0</v>
      </c>
      <c r="V40" s="26">
        <f t="shared" si="12"/>
        <v>0</v>
      </c>
    </row>
    <row r="41" spans="2:22" ht="15.75" customHeight="1" x14ac:dyDescent="0.25">
      <c r="B41" s="8" t="s">
        <v>158</v>
      </c>
      <c r="C41" s="9">
        <v>11</v>
      </c>
      <c r="D41" s="9">
        <v>11.01</v>
      </c>
      <c r="E41" s="23" t="s">
        <v>9</v>
      </c>
      <c r="F41" s="8" t="s">
        <v>15</v>
      </c>
      <c r="G41" s="26">
        <v>1.61E-6</v>
      </c>
      <c r="H41" s="8" t="s">
        <v>10</v>
      </c>
      <c r="I41" s="26"/>
      <c r="J41" s="10">
        <f t="shared" si="0"/>
        <v>1.61E-6</v>
      </c>
      <c r="K41" s="32" t="str">
        <f t="shared" si="1"/>
        <v>+II</v>
      </c>
      <c r="M41" s="31">
        <f t="shared" si="7"/>
        <v>0.99999839000000001</v>
      </c>
      <c r="N41" s="10">
        <f t="shared" si="8"/>
        <v>0.99999839000000001</v>
      </c>
      <c r="O41" s="10">
        <f t="shared" si="9"/>
        <v>3.2200000000000001E-6</v>
      </c>
      <c r="P41" s="10">
        <f t="shared" si="10"/>
        <v>3.2200000000000001E-6</v>
      </c>
      <c r="Q41" s="9">
        <f t="array" ref="Q41">MIN(IF('Normen en duidingsklassen'!$E$13:$E$20&gt;=$J41,'Normen en duidingsklassen'!$E$13:$E$20))</f>
        <v>3.3333333333333333E-6</v>
      </c>
      <c r="R41" s="9">
        <f>IFERROR(MATCH($Q41,'Normen en duidingsklassen'!$E$13:$E$20,0),1)</f>
        <v>2</v>
      </c>
      <c r="S41" s="9" t="str">
        <f>INDEX('Normen en duidingsklassen'!$D$13:$D$20,R41)</f>
        <v>+II</v>
      </c>
      <c r="T41" s="9" t="b">
        <f t="shared" si="6"/>
        <v>0</v>
      </c>
      <c r="U41" s="10">
        <f t="shared" si="11"/>
        <v>1.6099999999852344E-6</v>
      </c>
      <c r="V41" s="26">
        <f t="shared" si="12"/>
        <v>1.6099999999852344E-6</v>
      </c>
    </row>
    <row r="42" spans="2:22" ht="15.75" customHeight="1" x14ac:dyDescent="0.25">
      <c r="B42" s="8"/>
      <c r="C42" s="9">
        <v>11.01</v>
      </c>
      <c r="D42" s="9">
        <v>11.8</v>
      </c>
      <c r="E42" s="23" t="s">
        <v>10</v>
      </c>
      <c r="F42" s="8" t="s">
        <v>14</v>
      </c>
      <c r="G42" s="26"/>
      <c r="H42" s="8" t="s">
        <v>10</v>
      </c>
      <c r="I42" s="26"/>
      <c r="J42" s="10">
        <f t="shared" si="0"/>
        <v>0</v>
      </c>
      <c r="K42" s="32" t="str">
        <f t="shared" si="1"/>
        <v>NR</v>
      </c>
      <c r="M42" s="31">
        <f t="shared" si="7"/>
        <v>1</v>
      </c>
      <c r="N42" s="10">
        <f t="shared" si="8"/>
        <v>1</v>
      </c>
      <c r="O42" s="10">
        <f t="shared" si="9"/>
        <v>0</v>
      </c>
      <c r="P42" s="10">
        <f t="shared" si="10"/>
        <v>0</v>
      </c>
      <c r="Q42" s="9">
        <f t="array" ref="Q42">MIN(IF('Normen en duidingsklassen'!$E$13:$E$20&gt;=$J42,'Normen en duidingsklassen'!$E$13:$E$20))</f>
        <v>0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 t="shared" si="6"/>
        <v>0</v>
      </c>
      <c r="U42" s="10">
        <f t="shared" si="11"/>
        <v>0</v>
      </c>
      <c r="V42" s="26">
        <f t="shared" si="12"/>
        <v>0</v>
      </c>
    </row>
    <row r="43" spans="2:22" ht="15.75" customHeight="1" x14ac:dyDescent="0.25">
      <c r="B43" s="8" t="s">
        <v>159</v>
      </c>
      <c r="C43" s="9">
        <v>11.8</v>
      </c>
      <c r="D43" s="9">
        <v>11.81</v>
      </c>
      <c r="E43" s="23" t="s">
        <v>9</v>
      </c>
      <c r="F43" s="8" t="s">
        <v>15</v>
      </c>
      <c r="G43" s="26">
        <v>9.9999999999999995E-7</v>
      </c>
      <c r="H43" s="8" t="s">
        <v>10</v>
      </c>
      <c r="I43" s="26"/>
      <c r="J43" s="10">
        <f t="shared" si="0"/>
        <v>9.9999999999999995E-7</v>
      </c>
      <c r="K43" s="32" t="str">
        <f t="shared" si="1"/>
        <v>+II</v>
      </c>
      <c r="M43" s="31">
        <f t="shared" si="7"/>
        <v>0.99999899999999997</v>
      </c>
      <c r="N43" s="10">
        <f t="shared" si="8"/>
        <v>0.99999899999999997</v>
      </c>
      <c r="O43" s="10">
        <f t="shared" si="9"/>
        <v>1.9999999999999999E-6</v>
      </c>
      <c r="P43" s="10">
        <f t="shared" si="10"/>
        <v>1.9999999999999999E-6</v>
      </c>
      <c r="Q43" s="9">
        <f t="array" ref="Q43">MIN(IF('Normen en duidingsklassen'!$E$13:$E$20&gt;=$J43,'Normen en duidingsklassen'!$E$13:$E$20))</f>
        <v>3.3333333333333333E-6</v>
      </c>
      <c r="R43" s="9">
        <f>IFERROR(MATCH($Q43,'Normen en duidingsklassen'!$E$13:$E$20,0),1)</f>
        <v>2</v>
      </c>
      <c r="S43" s="9" t="str">
        <f>INDEX('Normen en duidingsklassen'!$D$13:$D$20,R43)</f>
        <v>+II</v>
      </c>
      <c r="T43" s="9" t="b">
        <f t="shared" si="6"/>
        <v>0</v>
      </c>
      <c r="U43" s="10">
        <f t="shared" si="11"/>
        <v>1.0000000000287557E-6</v>
      </c>
      <c r="V43" s="26">
        <f t="shared" si="12"/>
        <v>1.0000000000287557E-6</v>
      </c>
    </row>
    <row r="44" spans="2:22" ht="15.75" customHeight="1" x14ac:dyDescent="0.25">
      <c r="B44" s="8"/>
      <c r="C44" s="9">
        <v>11.81</v>
      </c>
      <c r="D44" s="9">
        <v>13</v>
      </c>
      <c r="E44" s="23" t="s">
        <v>10</v>
      </c>
      <c r="F44" s="8" t="s">
        <v>14</v>
      </c>
      <c r="G44" s="26"/>
      <c r="H44" s="8" t="s">
        <v>10</v>
      </c>
      <c r="I44" s="26"/>
      <c r="J44" s="10">
        <f t="shared" si="0"/>
        <v>0</v>
      </c>
      <c r="K44" s="32" t="str">
        <f t="shared" si="1"/>
        <v>NR</v>
      </c>
      <c r="M44" s="31">
        <f t="shared" si="7"/>
        <v>1</v>
      </c>
      <c r="N44" s="10">
        <f t="shared" si="8"/>
        <v>1</v>
      </c>
      <c r="O44" s="10">
        <f t="shared" si="9"/>
        <v>0</v>
      </c>
      <c r="P44" s="10">
        <f t="shared" si="10"/>
        <v>0</v>
      </c>
      <c r="Q44" s="9">
        <f t="array" ref="Q44">MIN(IF('Normen en duidingsklassen'!$E$13:$E$20&gt;=$J44,'Normen en duidingsklassen'!$E$13:$E$20))</f>
        <v>0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 t="shared" si="6"/>
        <v>0</v>
      </c>
      <c r="U44" s="10">
        <f t="shared" si="11"/>
        <v>0</v>
      </c>
      <c r="V44" s="26">
        <f t="shared" si="12"/>
        <v>0</v>
      </c>
    </row>
    <row r="45" spans="2:22" ht="15.75" customHeight="1" x14ac:dyDescent="0.25">
      <c r="B45" s="8" t="s">
        <v>160</v>
      </c>
      <c r="C45" s="9">
        <v>13</v>
      </c>
      <c r="D45" s="9">
        <v>13.01</v>
      </c>
      <c r="E45" s="23" t="s">
        <v>9</v>
      </c>
      <c r="F45" s="8" t="s">
        <v>15</v>
      </c>
      <c r="G45" s="26">
        <v>4.7600000000000002E-6</v>
      </c>
      <c r="H45" s="8" t="s">
        <v>10</v>
      </c>
      <c r="I45" s="26"/>
      <c r="J45" s="10">
        <f t="shared" si="0"/>
        <v>4.7600000000000002E-6</v>
      </c>
      <c r="K45" s="32" t="str">
        <f t="shared" si="1"/>
        <v>+I</v>
      </c>
      <c r="M45" s="31">
        <f t="shared" si="7"/>
        <v>0.99999523999999995</v>
      </c>
      <c r="N45" s="10">
        <f t="shared" si="8"/>
        <v>0.99999523999999995</v>
      </c>
      <c r="O45" s="10">
        <f t="shared" si="9"/>
        <v>9.5200000000000003E-6</v>
      </c>
      <c r="P45" s="10">
        <f t="shared" si="10"/>
        <v>9.5200000000000003E-6</v>
      </c>
      <c r="Q45" s="9">
        <f t="array" ref="Q45">MIN(IF('Normen en duidingsklassen'!$E$13:$E$20&gt;=$J45,'Normen en duidingsklassen'!$E$13:$E$20))</f>
        <v>3.3333333333333335E-5</v>
      </c>
      <c r="R45" s="9">
        <f>IFERROR(MATCH($Q45,'Normen en duidingsklassen'!$E$13:$E$20,0),1)</f>
        <v>3</v>
      </c>
      <c r="S45" s="9" t="str">
        <f>INDEX('Normen en duidingsklassen'!$D$13:$D$20,R45)</f>
        <v>+I</v>
      </c>
      <c r="T45" s="9" t="b">
        <f t="shared" si="6"/>
        <v>0</v>
      </c>
      <c r="U45" s="10">
        <f t="shared" si="11"/>
        <v>4.7600000000480591E-6</v>
      </c>
      <c r="V45" s="26">
        <f t="shared" si="12"/>
        <v>4.7600000000480591E-6</v>
      </c>
    </row>
    <row r="46" spans="2:22" ht="15.75" customHeight="1" x14ac:dyDescent="0.25">
      <c r="B46" s="8"/>
      <c r="C46" s="9">
        <v>13.01</v>
      </c>
      <c r="D46" s="9">
        <v>13.4</v>
      </c>
      <c r="E46" s="23" t="s">
        <v>10</v>
      </c>
      <c r="F46" s="8" t="s">
        <v>14</v>
      </c>
      <c r="G46" s="26"/>
      <c r="H46" s="8" t="s">
        <v>10</v>
      </c>
      <c r="I46" s="26"/>
      <c r="J46" s="10">
        <f t="shared" si="0"/>
        <v>0</v>
      </c>
      <c r="K46" s="32" t="str">
        <f t="shared" si="1"/>
        <v>NR</v>
      </c>
      <c r="M46" s="31">
        <f t="shared" si="7"/>
        <v>1</v>
      </c>
      <c r="N46" s="10">
        <f t="shared" si="8"/>
        <v>1</v>
      </c>
      <c r="O46" s="10">
        <f t="shared" si="9"/>
        <v>0</v>
      </c>
      <c r="P46" s="10">
        <f t="shared" si="10"/>
        <v>0</v>
      </c>
      <c r="Q46" s="9">
        <f t="array" ref="Q46">MIN(IF('Normen en duidingsklassen'!$E$13:$E$20&gt;=$J46,'Normen en duidingsklassen'!$E$13:$E$20))</f>
        <v>0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 t="shared" si="6"/>
        <v>0</v>
      </c>
      <c r="U46" s="10">
        <f t="shared" si="11"/>
        <v>0</v>
      </c>
      <c r="V46" s="26">
        <f t="shared" si="12"/>
        <v>0</v>
      </c>
    </row>
    <row r="47" spans="2:22" ht="15.75" customHeight="1" x14ac:dyDescent="0.25">
      <c r="B47" s="8" t="s">
        <v>161</v>
      </c>
      <c r="C47" s="9">
        <v>13.4</v>
      </c>
      <c r="D47" s="9">
        <v>13.41</v>
      </c>
      <c r="E47" s="23" t="s">
        <v>9</v>
      </c>
      <c r="F47" s="8" t="s">
        <v>15</v>
      </c>
      <c r="G47" s="26">
        <v>2.6299999999999998E-6</v>
      </c>
      <c r="H47" s="8" t="s">
        <v>10</v>
      </c>
      <c r="I47" s="26"/>
      <c r="J47" s="10">
        <f t="shared" si="0"/>
        <v>2.6299999999999998E-6</v>
      </c>
      <c r="K47" s="32" t="str">
        <f t="shared" si="1"/>
        <v>+II</v>
      </c>
      <c r="M47" s="31">
        <f t="shared" si="7"/>
        <v>0.99999737</v>
      </c>
      <c r="N47" s="10">
        <f t="shared" si="8"/>
        <v>0.99999737</v>
      </c>
      <c r="O47" s="10">
        <f t="shared" si="9"/>
        <v>5.2599999999999996E-6</v>
      </c>
      <c r="P47" s="10">
        <f t="shared" si="10"/>
        <v>5.2599999999999996E-6</v>
      </c>
      <c r="Q47" s="9">
        <f t="array" ref="Q47">MIN(IF('Normen en duidingsklassen'!$E$13:$E$20&gt;=$J47,'Normen en duidingsklassen'!$E$13:$E$20))</f>
        <v>3.3333333333333333E-6</v>
      </c>
      <c r="R47" s="9">
        <f>IFERROR(MATCH($Q47,'Normen en duidingsklassen'!$E$13:$E$20,0),1)</f>
        <v>2</v>
      </c>
      <c r="S47" s="9" t="str">
        <f>INDEX('Normen en duidingsklassen'!$D$13:$D$20,R47)</f>
        <v>+II</v>
      </c>
      <c r="T47" s="9" t="b">
        <f t="shared" si="6"/>
        <v>0</v>
      </c>
      <c r="U47" s="10">
        <f t="shared" si="11"/>
        <v>2.6300000000034629E-6</v>
      </c>
      <c r="V47" s="26">
        <f t="shared" si="12"/>
        <v>2.6300000000034629E-6</v>
      </c>
    </row>
    <row r="48" spans="2:22" ht="15.75" customHeight="1" x14ac:dyDescent="0.25">
      <c r="B48" s="8"/>
      <c r="C48" s="9">
        <v>13.41</v>
      </c>
      <c r="D48" s="9">
        <v>13.9</v>
      </c>
      <c r="E48" s="23" t="s">
        <v>10</v>
      </c>
      <c r="F48" s="8" t="s">
        <v>14</v>
      </c>
      <c r="G48" s="26"/>
      <c r="H48" s="8" t="s">
        <v>10</v>
      </c>
      <c r="I48" s="26"/>
      <c r="J48" s="10">
        <f t="shared" si="0"/>
        <v>0</v>
      </c>
      <c r="K48" s="32" t="str">
        <f t="shared" si="1"/>
        <v>NR</v>
      </c>
      <c r="M48" s="31">
        <f t="shared" si="7"/>
        <v>1</v>
      </c>
      <c r="N48" s="10">
        <f t="shared" si="8"/>
        <v>1</v>
      </c>
      <c r="O48" s="10">
        <f t="shared" si="9"/>
        <v>0</v>
      </c>
      <c r="P48" s="10">
        <f t="shared" si="10"/>
        <v>0</v>
      </c>
      <c r="Q48" s="9">
        <f t="array" ref="Q48">MIN(IF('Normen en duidingsklassen'!$E$13:$E$20&gt;=$J48,'Normen en duidingsklassen'!$E$13:$E$20))</f>
        <v>0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 t="shared" si="6"/>
        <v>0</v>
      </c>
      <c r="U48" s="10">
        <f t="shared" si="11"/>
        <v>0</v>
      </c>
      <c r="V48" s="26">
        <f t="shared" si="12"/>
        <v>0</v>
      </c>
    </row>
    <row r="49" spans="2:22" ht="15.75" customHeight="1" x14ac:dyDescent="0.25">
      <c r="B49" s="8" t="s">
        <v>162</v>
      </c>
      <c r="C49" s="9">
        <v>13.9</v>
      </c>
      <c r="D49" s="9">
        <v>13.91</v>
      </c>
      <c r="E49" s="23" t="s">
        <v>9</v>
      </c>
      <c r="F49" s="8" t="s">
        <v>15</v>
      </c>
      <c r="G49" s="26">
        <v>5.0000000000000004E-6</v>
      </c>
      <c r="H49" s="8" t="s">
        <v>10</v>
      </c>
      <c r="I49" s="26"/>
      <c r="J49" s="10">
        <f t="shared" si="0"/>
        <v>5.0000000000000004E-6</v>
      </c>
      <c r="K49" s="32" t="str">
        <f t="shared" si="1"/>
        <v>+I</v>
      </c>
      <c r="M49" s="31">
        <f t="shared" si="7"/>
        <v>0.99999499999999997</v>
      </c>
      <c r="N49" s="10">
        <f t="shared" si="8"/>
        <v>0.99999499999999997</v>
      </c>
      <c r="O49" s="10">
        <f t="shared" si="9"/>
        <v>1.0000000000000001E-5</v>
      </c>
      <c r="P49" s="10">
        <f t="shared" si="10"/>
        <v>1.0000000000000001E-5</v>
      </c>
      <c r="Q49" s="9">
        <f t="array" ref="Q49">MIN(IF('Normen en duidingsklassen'!$E$13:$E$20&gt;=$J49,'Normen en duidingsklassen'!$E$13:$E$20))</f>
        <v>3.3333333333333335E-5</v>
      </c>
      <c r="R49" s="9">
        <f>IFERROR(MATCH($Q49,'Normen en duidingsklassen'!$E$13:$E$20,0),1)</f>
        <v>3</v>
      </c>
      <c r="S49" s="9" t="str">
        <f>INDEX('Normen en duidingsklassen'!$D$13:$D$20,R49)</f>
        <v>+I</v>
      </c>
      <c r="T49" s="9" t="b">
        <f t="shared" si="6"/>
        <v>0</v>
      </c>
      <c r="U49" s="10">
        <f t="shared" si="11"/>
        <v>5.000000000032756E-6</v>
      </c>
      <c r="V49" s="26">
        <f t="shared" si="12"/>
        <v>5.000000000032756E-6</v>
      </c>
    </row>
    <row r="50" spans="2:22" ht="15.75" customHeight="1" x14ac:dyDescent="0.25">
      <c r="B50" s="8"/>
      <c r="C50" s="9">
        <v>13.91</v>
      </c>
      <c r="D50" s="9">
        <v>14.2</v>
      </c>
      <c r="E50" s="23" t="s">
        <v>10</v>
      </c>
      <c r="F50" s="8" t="s">
        <v>14</v>
      </c>
      <c r="G50" s="26"/>
      <c r="H50" s="8" t="s">
        <v>10</v>
      </c>
      <c r="I50" s="26"/>
      <c r="J50" s="10">
        <f t="shared" si="0"/>
        <v>0</v>
      </c>
      <c r="K50" s="32" t="str">
        <f t="shared" si="1"/>
        <v>NR</v>
      </c>
      <c r="M50" s="31">
        <f t="shared" si="7"/>
        <v>1</v>
      </c>
      <c r="N50" s="10">
        <f t="shared" si="8"/>
        <v>1</v>
      </c>
      <c r="O50" s="10">
        <f t="shared" si="9"/>
        <v>0</v>
      </c>
      <c r="P50" s="10">
        <f t="shared" si="10"/>
        <v>0</v>
      </c>
      <c r="Q50" s="9">
        <f t="array" ref="Q50">MIN(IF('Normen en duidingsklassen'!$E$13:$E$20&gt;=$J50,'Normen en duidingsklassen'!$E$13:$E$20))</f>
        <v>0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 t="shared" si="6"/>
        <v>0</v>
      </c>
      <c r="U50" s="10">
        <f t="shared" si="11"/>
        <v>0</v>
      </c>
      <c r="V50" s="26">
        <f t="shared" si="12"/>
        <v>0</v>
      </c>
    </row>
    <row r="51" spans="2:22" ht="15.75" customHeight="1" x14ac:dyDescent="0.25">
      <c r="B51" s="8" t="s">
        <v>163</v>
      </c>
      <c r="C51" s="9">
        <v>14.2</v>
      </c>
      <c r="D51" s="9">
        <v>14.21</v>
      </c>
      <c r="E51" s="23" t="s">
        <v>9</v>
      </c>
      <c r="F51" s="8" t="s">
        <v>15</v>
      </c>
      <c r="G51" s="26">
        <v>9.9999999999999995E-7</v>
      </c>
      <c r="H51" s="8" t="s">
        <v>10</v>
      </c>
      <c r="I51" s="26"/>
      <c r="J51" s="10">
        <f t="shared" si="0"/>
        <v>9.9999999999999995E-7</v>
      </c>
      <c r="K51" s="32" t="str">
        <f t="shared" si="1"/>
        <v>+II</v>
      </c>
      <c r="M51" s="31">
        <f t="shared" si="7"/>
        <v>0.99999899999999997</v>
      </c>
      <c r="N51" s="10">
        <f t="shared" si="8"/>
        <v>0.99999899999999997</v>
      </c>
      <c r="O51" s="10">
        <f t="shared" si="9"/>
        <v>1.9999999999999999E-6</v>
      </c>
      <c r="P51" s="10">
        <f t="shared" si="10"/>
        <v>1.9999999999999999E-6</v>
      </c>
      <c r="Q51" s="9">
        <f t="array" ref="Q51">MIN(IF('Normen en duidingsklassen'!$E$13:$E$20&gt;=$J51,'Normen en duidingsklassen'!$E$13:$E$20))</f>
        <v>3.3333333333333333E-6</v>
      </c>
      <c r="R51" s="9">
        <f>IFERROR(MATCH($Q51,'Normen en duidingsklassen'!$E$13:$E$20,0),1)</f>
        <v>2</v>
      </c>
      <c r="S51" s="9" t="str">
        <f>INDEX('Normen en duidingsklassen'!$D$13:$D$20,R51)</f>
        <v>+II</v>
      </c>
      <c r="T51" s="9" t="b">
        <f t="shared" si="6"/>
        <v>0</v>
      </c>
      <c r="U51" s="10">
        <f t="shared" si="11"/>
        <v>1.0000000000287557E-6</v>
      </c>
      <c r="V51" s="26">
        <f t="shared" si="12"/>
        <v>1.0000000000287557E-6</v>
      </c>
    </row>
    <row r="52" spans="2:22" ht="15.75" customHeight="1" x14ac:dyDescent="0.25">
      <c r="B52" s="8"/>
      <c r="C52" s="9">
        <v>14.21</v>
      </c>
      <c r="D52" s="9">
        <v>15</v>
      </c>
      <c r="E52" s="23" t="s">
        <v>10</v>
      </c>
      <c r="F52" s="8" t="s">
        <v>14</v>
      </c>
      <c r="G52" s="26"/>
      <c r="H52" s="8" t="s">
        <v>10</v>
      </c>
      <c r="I52" s="26"/>
      <c r="J52" s="10">
        <f t="shared" si="0"/>
        <v>0</v>
      </c>
      <c r="K52" s="32" t="str">
        <f t="shared" si="1"/>
        <v>NR</v>
      </c>
      <c r="M52" s="31">
        <f t="shared" si="7"/>
        <v>1</v>
      </c>
      <c r="N52" s="10">
        <f t="shared" si="8"/>
        <v>1</v>
      </c>
      <c r="O52" s="10">
        <f t="shared" si="9"/>
        <v>0</v>
      </c>
      <c r="P52" s="10">
        <f t="shared" si="10"/>
        <v>0</v>
      </c>
      <c r="Q52" s="9">
        <f t="array" ref="Q52">MIN(IF('Normen en duidingsklassen'!$E$13:$E$20&gt;=$J52,'Normen en duidingsklassen'!$E$13:$E$20))</f>
        <v>0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 t="shared" si="6"/>
        <v>0</v>
      </c>
      <c r="U52" s="10">
        <f t="shared" si="11"/>
        <v>0</v>
      </c>
      <c r="V52" s="26">
        <f t="shared" si="12"/>
        <v>0</v>
      </c>
    </row>
    <row r="53" spans="2:22" ht="15.75" customHeight="1" x14ac:dyDescent="0.25">
      <c r="B53" s="8" t="s">
        <v>164</v>
      </c>
      <c r="C53" s="9">
        <v>15</v>
      </c>
      <c r="D53" s="9">
        <v>15.01</v>
      </c>
      <c r="E53" s="23" t="s">
        <v>9</v>
      </c>
      <c r="F53" s="8" t="s">
        <v>15</v>
      </c>
      <c r="G53" s="26">
        <v>9.9999999999999995E-7</v>
      </c>
      <c r="H53" s="8" t="s">
        <v>10</v>
      </c>
      <c r="I53" s="26"/>
      <c r="J53" s="10">
        <f t="shared" si="0"/>
        <v>9.9999999999999995E-7</v>
      </c>
      <c r="K53" s="32" t="str">
        <f t="shared" si="1"/>
        <v>+II</v>
      </c>
      <c r="M53" s="31">
        <f t="shared" si="7"/>
        <v>0.99999899999999997</v>
      </c>
      <c r="N53" s="10">
        <f t="shared" si="8"/>
        <v>0.99999899999999997</v>
      </c>
      <c r="O53" s="10">
        <f t="shared" si="9"/>
        <v>1.9999999999999999E-6</v>
      </c>
      <c r="P53" s="10">
        <f t="shared" si="10"/>
        <v>1.9999999999999999E-6</v>
      </c>
      <c r="Q53" s="9">
        <f t="array" ref="Q53">MIN(IF('Normen en duidingsklassen'!$E$13:$E$20&gt;=$J53,'Normen en duidingsklassen'!$E$13:$E$20))</f>
        <v>3.3333333333333333E-6</v>
      </c>
      <c r="R53" s="9">
        <f>IFERROR(MATCH($Q53,'Normen en duidingsklassen'!$E$13:$E$20,0),1)</f>
        <v>2</v>
      </c>
      <c r="S53" s="9" t="str">
        <f>INDEX('Normen en duidingsklassen'!$D$13:$D$20,R53)</f>
        <v>+II</v>
      </c>
      <c r="T53" s="9" t="b">
        <f t="shared" si="6"/>
        <v>0</v>
      </c>
      <c r="U53" s="10">
        <f t="shared" si="11"/>
        <v>1.0000000000287557E-6</v>
      </c>
      <c r="V53" s="26">
        <f t="shared" si="12"/>
        <v>1.0000000000287557E-6</v>
      </c>
    </row>
    <row r="54" spans="2:22" ht="15.75" customHeight="1" x14ac:dyDescent="0.25">
      <c r="B54" s="8"/>
      <c r="C54" s="9">
        <v>15.01</v>
      </c>
      <c r="D54" s="9">
        <v>15.7</v>
      </c>
      <c r="E54" s="23" t="s">
        <v>10</v>
      </c>
      <c r="F54" s="8" t="s">
        <v>14</v>
      </c>
      <c r="G54" s="26"/>
      <c r="H54" s="8" t="s">
        <v>10</v>
      </c>
      <c r="I54" s="26"/>
      <c r="J54" s="10">
        <f t="shared" si="0"/>
        <v>0</v>
      </c>
      <c r="K54" s="32" t="str">
        <f t="shared" si="1"/>
        <v>NR</v>
      </c>
      <c r="M54" s="31">
        <f t="shared" si="7"/>
        <v>1</v>
      </c>
      <c r="N54" s="10">
        <f t="shared" si="8"/>
        <v>1</v>
      </c>
      <c r="O54" s="10">
        <f t="shared" si="9"/>
        <v>0</v>
      </c>
      <c r="P54" s="10">
        <f t="shared" si="10"/>
        <v>0</v>
      </c>
      <c r="Q54" s="9">
        <f t="array" ref="Q54">MIN(IF('Normen en duidingsklassen'!$E$13:$E$20&gt;=$J54,'Normen en duidingsklassen'!$E$13:$E$20))</f>
        <v>0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9" t="b">
        <f t="shared" si="6"/>
        <v>0</v>
      </c>
      <c r="U54" s="10">
        <f t="shared" si="11"/>
        <v>0</v>
      </c>
      <c r="V54" s="26">
        <f t="shared" si="12"/>
        <v>0</v>
      </c>
    </row>
    <row r="55" spans="2:22" ht="15.75" customHeight="1" x14ac:dyDescent="0.25">
      <c r="B55" s="8" t="s">
        <v>165</v>
      </c>
      <c r="C55" s="9">
        <v>15.7</v>
      </c>
      <c r="D55" s="9">
        <v>15.71</v>
      </c>
      <c r="E55" s="23" t="s">
        <v>9</v>
      </c>
      <c r="F55" s="8" t="s">
        <v>15</v>
      </c>
      <c r="G55" s="26">
        <v>9.9999999999999995E-7</v>
      </c>
      <c r="H55" s="8" t="s">
        <v>10</v>
      </c>
      <c r="I55" s="26"/>
      <c r="J55" s="10">
        <f t="shared" si="0"/>
        <v>9.9999999999999995E-7</v>
      </c>
      <c r="K55" s="32" t="str">
        <f t="shared" si="1"/>
        <v>+II</v>
      </c>
      <c r="M55" s="31">
        <f t="shared" si="7"/>
        <v>0.99999899999999997</v>
      </c>
      <c r="N55" s="10">
        <f t="shared" si="8"/>
        <v>0.99999899999999997</v>
      </c>
      <c r="O55" s="10">
        <f t="shared" si="9"/>
        <v>1.9999999999999999E-6</v>
      </c>
      <c r="P55" s="10">
        <f t="shared" si="10"/>
        <v>1.9999999999999999E-6</v>
      </c>
      <c r="Q55" s="9">
        <f t="array" ref="Q55">MIN(IF('Normen en duidingsklassen'!$E$13:$E$20&gt;=$J55,'Normen en duidingsklassen'!$E$13:$E$20))</f>
        <v>3.3333333333333333E-6</v>
      </c>
      <c r="R55" s="9">
        <f>IFERROR(MATCH($Q55,'Normen en duidingsklassen'!$E$13:$E$20,0),1)</f>
        <v>2</v>
      </c>
      <c r="S55" s="9" t="str">
        <f>INDEX('Normen en duidingsklassen'!$D$13:$D$20,R55)</f>
        <v>+II</v>
      </c>
      <c r="T55" s="9" t="b">
        <f t="shared" si="6"/>
        <v>0</v>
      </c>
      <c r="U55" s="10">
        <f t="shared" si="11"/>
        <v>1.0000000000287557E-6</v>
      </c>
      <c r="V55" s="26">
        <f t="shared" si="12"/>
        <v>1.0000000000287557E-6</v>
      </c>
    </row>
    <row r="56" spans="2:22" ht="15.75" customHeight="1" x14ac:dyDescent="0.25">
      <c r="B56" s="8"/>
      <c r="C56" s="9">
        <v>15.71</v>
      </c>
      <c r="D56" s="9">
        <v>16.100000000000001</v>
      </c>
      <c r="E56" s="23" t="s">
        <v>10</v>
      </c>
      <c r="F56" s="8" t="s">
        <v>14</v>
      </c>
      <c r="G56" s="26"/>
      <c r="H56" s="8" t="s">
        <v>10</v>
      </c>
      <c r="I56" s="26"/>
      <c r="J56" s="10">
        <f t="shared" si="0"/>
        <v>0</v>
      </c>
      <c r="K56" s="32" t="str">
        <f t="shared" si="1"/>
        <v>NR</v>
      </c>
      <c r="M56" s="31">
        <f t="shared" si="7"/>
        <v>1</v>
      </c>
      <c r="N56" s="10">
        <f t="shared" si="8"/>
        <v>1</v>
      </c>
      <c r="O56" s="10">
        <f t="shared" si="9"/>
        <v>0</v>
      </c>
      <c r="P56" s="10">
        <f t="shared" si="10"/>
        <v>0</v>
      </c>
      <c r="Q56" s="9">
        <f t="array" ref="Q56">MIN(IF('Normen en duidingsklassen'!$E$13:$E$20&gt;=$J56,'Normen en duidingsklassen'!$E$13:$E$20))</f>
        <v>0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9" t="b">
        <f t="shared" si="6"/>
        <v>0</v>
      </c>
      <c r="U56" s="10">
        <f t="shared" si="11"/>
        <v>0</v>
      </c>
      <c r="V56" s="26">
        <f t="shared" si="12"/>
        <v>0</v>
      </c>
    </row>
    <row r="57" spans="2:22" ht="15.75" customHeight="1" x14ac:dyDescent="0.25">
      <c r="B57" s="8" t="s">
        <v>166</v>
      </c>
      <c r="C57" s="9">
        <v>16.100000000000001</v>
      </c>
      <c r="D57" s="9">
        <v>16.11</v>
      </c>
      <c r="E57" s="23" t="s">
        <v>9</v>
      </c>
      <c r="F57" s="8" t="s">
        <v>15</v>
      </c>
      <c r="G57" s="26">
        <v>2.3800000000000001E-6</v>
      </c>
      <c r="H57" s="8" t="s">
        <v>10</v>
      </c>
      <c r="I57" s="26"/>
      <c r="J57" s="10">
        <f t="shared" si="0"/>
        <v>2.3800000000000001E-6</v>
      </c>
      <c r="K57" s="32" t="str">
        <f t="shared" si="1"/>
        <v>+II</v>
      </c>
      <c r="M57" s="31">
        <f t="shared" si="7"/>
        <v>0.99999762000000003</v>
      </c>
      <c r="N57" s="10">
        <f t="shared" si="8"/>
        <v>0.99999762000000003</v>
      </c>
      <c r="O57" s="10">
        <f t="shared" si="9"/>
        <v>4.7600000000000002E-6</v>
      </c>
      <c r="P57" s="10">
        <f t="shared" si="10"/>
        <v>4.7600000000000002E-6</v>
      </c>
      <c r="Q57" s="9">
        <f t="array" ref="Q57">MIN(IF('Normen en duidingsklassen'!$E$13:$E$20&gt;=$J57,'Normen en duidingsklassen'!$E$13:$E$20))</f>
        <v>3.3333333333333333E-6</v>
      </c>
      <c r="R57" s="9">
        <f>IFERROR(MATCH($Q57,'Normen en duidingsklassen'!$E$13:$E$20,0),1)</f>
        <v>2</v>
      </c>
      <c r="S57" s="9" t="str">
        <f>INDEX('Normen en duidingsklassen'!$D$13:$D$20,R57)</f>
        <v>+II</v>
      </c>
      <c r="T57" s="9" t="b">
        <f t="shared" si="6"/>
        <v>0</v>
      </c>
      <c r="U57" s="10">
        <f t="shared" si="11"/>
        <v>2.3799999999685184E-6</v>
      </c>
      <c r="V57" s="26">
        <f t="shared" si="12"/>
        <v>2.3799999999685184E-6</v>
      </c>
    </row>
    <row r="58" spans="2:22" ht="15.75" customHeight="1" x14ac:dyDescent="0.25">
      <c r="B58" s="8"/>
      <c r="C58" s="9">
        <v>16.11</v>
      </c>
      <c r="D58" s="9">
        <v>16.7</v>
      </c>
      <c r="E58" s="23" t="s">
        <v>10</v>
      </c>
      <c r="F58" s="8" t="s">
        <v>14</v>
      </c>
      <c r="G58" s="26"/>
      <c r="H58" s="8" t="s">
        <v>10</v>
      </c>
      <c r="I58" s="26"/>
      <c r="J58" s="10">
        <f t="shared" si="0"/>
        <v>0</v>
      </c>
      <c r="K58" s="32" t="str">
        <f t="shared" si="1"/>
        <v>NR</v>
      </c>
      <c r="M58" s="31">
        <f t="shared" si="7"/>
        <v>1</v>
      </c>
      <c r="N58" s="10">
        <f t="shared" si="8"/>
        <v>1</v>
      </c>
      <c r="O58" s="10">
        <f t="shared" si="9"/>
        <v>0</v>
      </c>
      <c r="P58" s="10">
        <f t="shared" si="10"/>
        <v>0</v>
      </c>
      <c r="Q58" s="9">
        <f t="array" ref="Q58">MIN(IF('Normen en duidingsklassen'!$E$13:$E$20&gt;=$J58,'Normen en duidingsklassen'!$E$13:$E$20))</f>
        <v>0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9" t="b">
        <f t="shared" si="6"/>
        <v>0</v>
      </c>
      <c r="U58" s="10">
        <f t="shared" si="11"/>
        <v>0</v>
      </c>
      <c r="V58" s="26">
        <f t="shared" si="12"/>
        <v>0</v>
      </c>
    </row>
    <row r="59" spans="2:22" ht="15.75" customHeight="1" x14ac:dyDescent="0.25">
      <c r="B59" s="8" t="s">
        <v>167</v>
      </c>
      <c r="C59" s="9">
        <v>16.7</v>
      </c>
      <c r="D59" s="9">
        <v>16.71</v>
      </c>
      <c r="E59" s="23" t="s">
        <v>9</v>
      </c>
      <c r="F59" s="8" t="s">
        <v>15</v>
      </c>
      <c r="G59" s="26">
        <v>9.9999999999999995E-7</v>
      </c>
      <c r="H59" s="8" t="s">
        <v>10</v>
      </c>
      <c r="I59" s="26"/>
      <c r="J59" s="10">
        <f t="shared" si="0"/>
        <v>9.9999999999999995E-7</v>
      </c>
      <c r="K59" s="32" t="str">
        <f t="shared" si="1"/>
        <v>+II</v>
      </c>
      <c r="M59" s="31">
        <f t="shared" si="7"/>
        <v>0.99999899999999997</v>
      </c>
      <c r="N59" s="10">
        <f t="shared" si="8"/>
        <v>0.99999899999999997</v>
      </c>
      <c r="O59" s="10">
        <f t="shared" si="9"/>
        <v>1.9999999999999999E-6</v>
      </c>
      <c r="P59" s="10">
        <f t="shared" si="10"/>
        <v>1.9999999999999999E-6</v>
      </c>
      <c r="Q59" s="9">
        <f t="array" ref="Q59">MIN(IF('Normen en duidingsklassen'!$E$13:$E$20&gt;=$J59,'Normen en duidingsklassen'!$E$13:$E$20))</f>
        <v>3.3333333333333333E-6</v>
      </c>
      <c r="R59" s="9">
        <f>IFERROR(MATCH($Q59,'Normen en duidingsklassen'!$E$13:$E$20,0),1)</f>
        <v>2</v>
      </c>
      <c r="S59" s="9" t="str">
        <f>INDEX('Normen en duidingsklassen'!$D$13:$D$20,R59)</f>
        <v>+II</v>
      </c>
      <c r="T59" s="9" t="b">
        <f t="shared" si="6"/>
        <v>0</v>
      </c>
      <c r="U59" s="10">
        <f t="shared" si="11"/>
        <v>1.0000000000287557E-6</v>
      </c>
      <c r="V59" s="26">
        <f t="shared" si="12"/>
        <v>1.0000000000287557E-6</v>
      </c>
    </row>
    <row r="60" spans="2:22" ht="15.75" customHeight="1" x14ac:dyDescent="0.25">
      <c r="B60" s="8"/>
      <c r="C60" s="9">
        <v>16.71</v>
      </c>
      <c r="D60" s="9">
        <v>17.3</v>
      </c>
      <c r="E60" s="23" t="s">
        <v>10</v>
      </c>
      <c r="F60" s="8" t="s">
        <v>14</v>
      </c>
      <c r="G60" s="26"/>
      <c r="H60" s="8" t="s">
        <v>10</v>
      </c>
      <c r="I60" s="26"/>
      <c r="J60" s="10">
        <f t="shared" si="0"/>
        <v>0</v>
      </c>
      <c r="K60" s="32" t="str">
        <f t="shared" si="1"/>
        <v>NR</v>
      </c>
      <c r="M60" s="31">
        <f t="shared" si="7"/>
        <v>1</v>
      </c>
      <c r="N60" s="10">
        <f t="shared" si="8"/>
        <v>1</v>
      </c>
      <c r="O60" s="10">
        <f t="shared" si="9"/>
        <v>0</v>
      </c>
      <c r="P60" s="10">
        <f t="shared" si="10"/>
        <v>0</v>
      </c>
      <c r="Q60" s="9">
        <f t="array" ref="Q60">MIN(IF('Normen en duidingsklassen'!$E$13:$E$20&gt;=$J60,'Normen en duidingsklassen'!$E$13:$E$20))</f>
        <v>0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9" t="b">
        <f t="shared" si="6"/>
        <v>0</v>
      </c>
      <c r="U60" s="10">
        <f t="shared" si="11"/>
        <v>0</v>
      </c>
      <c r="V60" s="26">
        <f t="shared" si="12"/>
        <v>0</v>
      </c>
    </row>
    <row r="61" spans="2:22" ht="15.75" customHeight="1" x14ac:dyDescent="0.25">
      <c r="B61" s="8" t="s">
        <v>168</v>
      </c>
      <c r="C61" s="9">
        <v>17.3</v>
      </c>
      <c r="D61" s="9">
        <v>17.309999999999999</v>
      </c>
      <c r="E61" s="23" t="s">
        <v>9</v>
      </c>
      <c r="F61" s="8" t="s">
        <v>15</v>
      </c>
      <c r="G61" s="26">
        <v>9.9999999999999995E-7</v>
      </c>
      <c r="H61" s="8" t="s">
        <v>10</v>
      </c>
      <c r="I61" s="26"/>
      <c r="J61" s="10">
        <f t="shared" si="0"/>
        <v>9.9999999999999995E-7</v>
      </c>
      <c r="K61" s="32" t="str">
        <f t="shared" si="1"/>
        <v>+II</v>
      </c>
      <c r="M61" s="31">
        <f t="shared" si="7"/>
        <v>0.99999899999999997</v>
      </c>
      <c r="N61" s="10">
        <f t="shared" si="8"/>
        <v>0.99999899999999997</v>
      </c>
      <c r="O61" s="10">
        <f t="shared" si="9"/>
        <v>1.9999999999999999E-6</v>
      </c>
      <c r="P61" s="10">
        <f t="shared" si="10"/>
        <v>1.9999999999999999E-6</v>
      </c>
      <c r="Q61" s="9">
        <f t="array" ref="Q61">MIN(IF('Normen en duidingsklassen'!$E$13:$E$20&gt;=$J61,'Normen en duidingsklassen'!$E$13:$E$20))</f>
        <v>3.3333333333333333E-6</v>
      </c>
      <c r="R61" s="9">
        <f>IFERROR(MATCH($Q61,'Normen en duidingsklassen'!$E$13:$E$20,0),1)</f>
        <v>2</v>
      </c>
      <c r="S61" s="9" t="str">
        <f>INDEX('Normen en duidingsklassen'!$D$13:$D$20,R61)</f>
        <v>+II</v>
      </c>
      <c r="T61" s="9" t="b">
        <f t="shared" si="6"/>
        <v>0</v>
      </c>
      <c r="U61" s="10">
        <f t="shared" si="11"/>
        <v>1.0000000000287557E-6</v>
      </c>
      <c r="V61" s="26">
        <f t="shared" si="12"/>
        <v>1.0000000000287557E-6</v>
      </c>
    </row>
    <row r="62" spans="2:22" ht="15.75" customHeight="1" x14ac:dyDescent="0.25">
      <c r="B62" s="8"/>
      <c r="C62" s="9">
        <v>17.309999999999999</v>
      </c>
      <c r="D62" s="9">
        <v>17.5</v>
      </c>
      <c r="E62" s="23" t="s">
        <v>10</v>
      </c>
      <c r="F62" s="8" t="s">
        <v>14</v>
      </c>
      <c r="G62" s="26"/>
      <c r="H62" s="8" t="s">
        <v>10</v>
      </c>
      <c r="I62" s="26"/>
      <c r="J62" s="10">
        <f t="shared" si="0"/>
        <v>0</v>
      </c>
      <c r="K62" s="32" t="str">
        <f t="shared" si="1"/>
        <v>NR</v>
      </c>
      <c r="M62" s="31">
        <f t="shared" si="7"/>
        <v>1</v>
      </c>
      <c r="N62" s="10">
        <f t="shared" si="8"/>
        <v>1</v>
      </c>
      <c r="O62" s="10">
        <f t="shared" si="9"/>
        <v>0</v>
      </c>
      <c r="P62" s="10">
        <f t="shared" si="10"/>
        <v>0</v>
      </c>
      <c r="Q62" s="9">
        <f t="array" ref="Q62">MIN(IF('Normen en duidingsklassen'!$E$13:$E$20&gt;=$J62,'Normen en duidingsklassen'!$E$13:$E$20))</f>
        <v>0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9" t="b">
        <f t="shared" si="6"/>
        <v>0</v>
      </c>
      <c r="U62" s="10">
        <f t="shared" si="11"/>
        <v>0</v>
      </c>
      <c r="V62" s="26">
        <f t="shared" si="12"/>
        <v>0</v>
      </c>
    </row>
    <row r="63" spans="2:22" ht="15.75" customHeight="1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ht="15.75" customHeight="1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ht="15.75" customHeight="1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ht="15.75" customHeight="1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ht="15.75" customHeight="1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ht="15.75" customHeight="1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ht="15.75" customHeight="1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ht="15.75" customHeight="1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ht="15.75" customHeight="1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ht="15.75" customHeight="1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ht="15.75" customHeight="1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ht="15.75" customHeight="1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customHeight="1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customHeight="1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9"/>
      <c r="U76" s="9"/>
      <c r="V76" s="12"/>
    </row>
    <row r="77" spans="2:22" ht="15.75" customHeight="1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9"/>
      <c r="U77" s="9"/>
      <c r="V77" s="12"/>
    </row>
    <row r="78" spans="2:22" ht="15.75" customHeight="1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9"/>
      <c r="U78" s="9"/>
      <c r="V78" s="12"/>
    </row>
    <row r="79" spans="2:22" ht="15.75" customHeight="1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9"/>
      <c r="U79" s="9"/>
      <c r="V79" s="12"/>
    </row>
    <row r="80" spans="2:22" ht="15.75" customHeight="1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9"/>
      <c r="U80" s="9"/>
      <c r="V80" s="12"/>
    </row>
    <row r="81" spans="2:22" ht="15.75" customHeight="1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9"/>
      <c r="U81" s="9"/>
      <c r="V81" s="12"/>
    </row>
    <row r="82" spans="2:22" ht="15.75" customHeight="1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9"/>
      <c r="U82" s="9"/>
      <c r="V82" s="12"/>
    </row>
    <row r="83" spans="2:22" ht="15.75" customHeight="1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9"/>
      <c r="U83" s="9"/>
      <c r="V83" s="12"/>
    </row>
    <row r="84" spans="2:22" ht="15.75" customHeight="1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9"/>
      <c r="U84" s="9"/>
      <c r="V84" s="12"/>
    </row>
    <row r="85" spans="2:22" ht="15.75" customHeight="1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9"/>
      <c r="U85" s="9"/>
      <c r="V85" s="12"/>
    </row>
    <row r="86" spans="2:22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9"/>
      <c r="U86" s="9"/>
      <c r="V86" s="12"/>
    </row>
    <row r="87" spans="2:22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9"/>
      <c r="U87" s="9"/>
      <c r="V87" s="12"/>
    </row>
    <row r="88" spans="2:22" ht="15.75" thickBot="1" x14ac:dyDescent="0.3">
      <c r="B88" s="13"/>
      <c r="C88" s="14"/>
      <c r="D88" s="14"/>
      <c r="E88" s="24"/>
      <c r="F88" s="13"/>
      <c r="G88" s="27"/>
      <c r="H88" s="13"/>
      <c r="I88" s="27"/>
      <c r="J88" s="15"/>
      <c r="K88" s="34"/>
      <c r="M88" s="33"/>
      <c r="N88" s="15"/>
      <c r="O88" s="15"/>
      <c r="P88" s="15"/>
      <c r="Q88" s="14"/>
      <c r="R88" s="14"/>
      <c r="S88" s="14"/>
      <c r="T88" s="14"/>
      <c r="U88" s="14"/>
      <c r="V88" s="17"/>
    </row>
    <row r="89" spans="2:22" x14ac:dyDescent="0.25">
      <c r="M89" s="1"/>
    </row>
    <row r="90" spans="2:22" x14ac:dyDescent="0.25">
      <c r="M90" s="1"/>
    </row>
  </sheetData>
  <conditionalFormatting sqref="G63:G88">
    <cfRule type="expression" dxfId="48" priority="16">
      <formula>IF($E63="Nee",TRUE,FALSE)</formula>
    </cfRule>
  </conditionalFormatting>
  <conditionalFormatting sqref="I63:I88">
    <cfRule type="expression" dxfId="47" priority="15">
      <formula>IF($H63="Nee",TRUE,FALSE)</formula>
    </cfRule>
  </conditionalFormatting>
  <conditionalFormatting sqref="K63:K88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6:G62">
    <cfRule type="expression" dxfId="43" priority="5">
      <formula>IF($E16="Nee",TRUE,FALSE)</formula>
    </cfRule>
  </conditionalFormatting>
  <conditionalFormatting sqref="I16:I62">
    <cfRule type="expression" dxfId="42" priority="4">
      <formula>IF($H16="Nee",TRUE,FALSE)</formula>
    </cfRule>
  </conditionalFormatting>
  <conditionalFormatting sqref="K16:K62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RIGHT(K63,LEN('Normen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RIGHT(K63,LEN('Normen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RIGHT(K63,LEN('Normen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RIGHT(K63,LEN('Normen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duidingsklassen'!$D$13,K63)))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duidingsklassen'!$D$14,K63)))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K63:K88</xm:sqref>
        </x14:conditionalFormatting>
        <x14:conditionalFormatting xmlns:xm="http://schemas.microsoft.com/office/excel/2006/main">
          <x14:cfRule type="endsWith" priority="6" operator="endsWith" id="{31F36CF7-AA83-47A9-A3F3-EAB1459F21E7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A11AB47-4A6D-49CA-B6A1-AE685D907CE7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1E8AABF-6D58-40C1-88EC-A80775894D9E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56A871A-D7F2-4407-911A-28F1CE07B736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EECD7749-220D-48FC-8949-7EE400A4520D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99EA5F90-D109-4DC7-B56D-FA3EBB56DFE2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K16:K62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E89:E104 F16:F88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114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37</v>
      </c>
      <c r="C2" s="2" t="s">
        <v>78</v>
      </c>
    </row>
    <row r="3" spans="2:22" x14ac:dyDescent="0.25">
      <c r="B3" s="35" t="s">
        <v>33</v>
      </c>
      <c r="C3" s="7">
        <v>1</v>
      </c>
    </row>
    <row r="4" spans="2:22" x14ac:dyDescent="0.25">
      <c r="B4" s="39" t="s">
        <v>170</v>
      </c>
      <c r="C4" s="12" t="s">
        <v>10</v>
      </c>
    </row>
    <row r="5" spans="2:22" x14ac:dyDescent="0.25">
      <c r="B5" s="39" t="s">
        <v>172</v>
      </c>
      <c r="C5" s="12" t="s">
        <v>178</v>
      </c>
    </row>
    <row r="6" spans="2:22" x14ac:dyDescent="0.25">
      <c r="B6" s="39" t="s">
        <v>186</v>
      </c>
      <c r="C6" s="12" t="s">
        <v>10</v>
      </c>
    </row>
    <row r="7" spans="2:22" x14ac:dyDescent="0.25">
      <c r="B7" s="39" t="s">
        <v>36</v>
      </c>
      <c r="C7" s="26">
        <f>IFERROR(IF(C5="P1",1-PRODUCT(M16:M112),MAX(O16:O112)),"GR")</f>
        <v>8.3299999999999999E-6</v>
      </c>
    </row>
    <row r="8" spans="2:22" x14ac:dyDescent="0.25">
      <c r="B8" s="39" t="s">
        <v>30</v>
      </c>
      <c r="C8" s="26">
        <f>IF(C5="P1",1-PRODUCT(N16:N112),MAX(P16:P112))</f>
        <v>8.3299999999999999E-6</v>
      </c>
    </row>
    <row r="9" spans="2:22" x14ac:dyDescent="0.25">
      <c r="B9" s="39" t="s">
        <v>21</v>
      </c>
      <c r="C9" s="26">
        <f>IFERROR(MAX(U16:U112),"GR")</f>
        <v>8.3300000000008367E-6</v>
      </c>
    </row>
    <row r="10" spans="2:22" x14ac:dyDescent="0.25">
      <c r="B10" s="39" t="s">
        <v>174</v>
      </c>
      <c r="C10" s="26">
        <f>MAX(V16:V112)</f>
        <v>8.3300000000008367E-6</v>
      </c>
    </row>
    <row r="11" spans="2:22" x14ac:dyDescent="0.25">
      <c r="B11" s="39" t="s">
        <v>28</v>
      </c>
      <c r="C11" s="26">
        <f>IFERROR(1-PRODUCT(M16:M112),"GR")</f>
        <v>4.7558958618632019E-5</v>
      </c>
    </row>
    <row r="12" spans="2:22" ht="15.75" thickBot="1" x14ac:dyDescent="0.3">
      <c r="B12" s="40" t="s">
        <v>175</v>
      </c>
      <c r="C12" s="27">
        <f>1-PRODUCT(N16:N112)</f>
        <v>4.7558958618632019E-5</v>
      </c>
    </row>
    <row r="14" spans="2:22" ht="15.75" thickBot="1" x14ac:dyDescent="0.3">
      <c r="M14" t="s">
        <v>53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12</v>
      </c>
      <c r="G15" s="20" t="s">
        <v>5</v>
      </c>
      <c r="H15" s="18" t="s">
        <v>11</v>
      </c>
      <c r="I15" s="20" t="s">
        <v>7</v>
      </c>
      <c r="J15" s="19" t="s">
        <v>17</v>
      </c>
      <c r="K15" s="20" t="s">
        <v>19</v>
      </c>
      <c r="L15" s="2"/>
      <c r="M15" s="35" t="s">
        <v>31</v>
      </c>
      <c r="N15" s="36" t="s">
        <v>32</v>
      </c>
      <c r="O15" s="36" t="s">
        <v>68</v>
      </c>
      <c r="P15" s="36" t="s">
        <v>69</v>
      </c>
      <c r="Q15" s="37" t="s">
        <v>50</v>
      </c>
      <c r="R15" s="37" t="s">
        <v>51</v>
      </c>
      <c r="S15" s="4"/>
      <c r="T15" s="37" t="s">
        <v>52</v>
      </c>
      <c r="U15" s="37" t="s">
        <v>176</v>
      </c>
      <c r="V15" s="38" t="s">
        <v>177</v>
      </c>
    </row>
    <row r="16" spans="2:22" x14ac:dyDescent="0.25">
      <c r="B16" s="3"/>
      <c r="C16" s="4">
        <v>0</v>
      </c>
      <c r="D16" s="4">
        <v>1.4</v>
      </c>
      <c r="E16" s="22" t="s">
        <v>10</v>
      </c>
      <c r="F16" s="8" t="s">
        <v>14</v>
      </c>
      <c r="G16" s="25"/>
      <c r="H16" s="3" t="s">
        <v>10</v>
      </c>
      <c r="I16" s="25"/>
      <c r="J16" s="5">
        <f t="shared" ref="J16:J62" si="0">IF($E16="Nee",0,IF(H16="Ja",IF(ISNUMBER(I16),I16,"-"),IF(ISNUMBER(G16),G16,"-")))</f>
        <v>0</v>
      </c>
      <c r="K16" s="30" t="str">
        <f t="shared" ref="K16:K62" si="1">IF($E16="Nee","NR",IF(ISNUMBER($J16),S16,IF($T16,"D","ND")))</f>
        <v>NR</v>
      </c>
      <c r="M16" s="31">
        <f t="shared" ref="M16" si="2">IF(AND(F16="Geen faalkans",H16="Nee"),1,1-J16)</f>
        <v>1</v>
      </c>
      <c r="N16" s="10">
        <f t="shared" ref="N16" si="3">IF(J16="-",1,M16)</f>
        <v>1</v>
      </c>
      <c r="O16" s="10">
        <f t="shared" ref="O16" si="4">IF(AND(F16="Geen faalkans",H16="Nee"),0,J16*$C$3)</f>
        <v>0</v>
      </c>
      <c r="P16" s="10">
        <f t="shared" ref="P16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62" si="6"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 t="s">
        <v>146</v>
      </c>
      <c r="C17" s="9">
        <v>1.4</v>
      </c>
      <c r="D17" s="9">
        <v>1.41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0"/>
        <v>9.9999999999999995E-7</v>
      </c>
      <c r="K17" s="32" t="str">
        <f t="shared" si="1"/>
        <v>+II</v>
      </c>
      <c r="M17" s="31">
        <f t="shared" ref="M17:M62" si="7">IF(AND(F17="Geen faalkans",H17="Nee"),1,1-J17)</f>
        <v>0.99999899999999997</v>
      </c>
      <c r="N17" s="10">
        <f t="shared" ref="N17:N62" si="8">IF(J17="-",1,M17)</f>
        <v>0.99999899999999997</v>
      </c>
      <c r="O17" s="10">
        <f t="shared" ref="O17:O62" si="9">IF(AND(F17="Geen faalkans",H17="Nee"),0,J17*$C$3)</f>
        <v>9.9999999999999995E-7</v>
      </c>
      <c r="P17" s="10">
        <f t="shared" ref="P17:P62" si="10">IF(J17="-",0,O17)</f>
        <v>9.9999999999999995E-7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6"/>
        <v>0</v>
      </c>
      <c r="U17" s="10">
        <f t="shared" ref="U17:U62" si="11">1-M17</f>
        <v>1.0000000000287557E-6</v>
      </c>
      <c r="V17" s="26">
        <f t="shared" ref="V17:V62" si="12">1-N17</f>
        <v>1.0000000000287557E-6</v>
      </c>
    </row>
    <row r="18" spans="2:22" x14ac:dyDescent="0.25">
      <c r="B18" s="8"/>
      <c r="C18" s="9">
        <v>1.41</v>
      </c>
      <c r="D18" s="9">
        <v>1.7</v>
      </c>
      <c r="E18" s="23" t="s">
        <v>10</v>
      </c>
      <c r="F18" s="8" t="s">
        <v>14</v>
      </c>
      <c r="G18" s="26"/>
      <c r="H18" s="8" t="s">
        <v>10</v>
      </c>
      <c r="I18" s="26"/>
      <c r="J18" s="10">
        <f t="shared" si="0"/>
        <v>0</v>
      </c>
      <c r="K18" s="32" t="str">
        <f t="shared" si="1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11"/>
        <v>0</v>
      </c>
      <c r="V18" s="26">
        <f t="shared" si="12"/>
        <v>0</v>
      </c>
    </row>
    <row r="19" spans="2:22" x14ac:dyDescent="0.25">
      <c r="B19" s="8" t="s">
        <v>147</v>
      </c>
      <c r="C19" s="9">
        <v>1.7</v>
      </c>
      <c r="D19" s="9">
        <v>1.71</v>
      </c>
      <c r="E19" s="23" t="s">
        <v>9</v>
      </c>
      <c r="F19" s="8" t="s">
        <v>15</v>
      </c>
      <c r="G19" s="26">
        <v>9.9999999999999995E-7</v>
      </c>
      <c r="H19" s="8" t="s">
        <v>10</v>
      </c>
      <c r="I19" s="26"/>
      <c r="J19" s="10">
        <f t="shared" si="0"/>
        <v>9.9999999999999995E-7</v>
      </c>
      <c r="K19" s="32" t="str">
        <f t="shared" si="1"/>
        <v>+II</v>
      </c>
      <c r="M19" s="31">
        <f t="shared" si="7"/>
        <v>0.99999899999999997</v>
      </c>
      <c r="N19" s="10">
        <f t="shared" si="8"/>
        <v>0.99999899999999997</v>
      </c>
      <c r="O19" s="10">
        <f t="shared" si="9"/>
        <v>9.9999999999999995E-7</v>
      </c>
      <c r="P19" s="10">
        <f t="shared" si="10"/>
        <v>9.9999999999999995E-7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9" t="b">
        <f t="shared" si="6"/>
        <v>0</v>
      </c>
      <c r="U19" s="10">
        <f t="shared" si="11"/>
        <v>1.0000000000287557E-6</v>
      </c>
      <c r="V19" s="26">
        <f t="shared" si="12"/>
        <v>1.0000000000287557E-6</v>
      </c>
    </row>
    <row r="20" spans="2:22" x14ac:dyDescent="0.25">
      <c r="B20" s="8"/>
      <c r="C20" s="9">
        <v>1.71</v>
      </c>
      <c r="D20" s="9">
        <v>2.5</v>
      </c>
      <c r="E20" s="23" t="s">
        <v>10</v>
      </c>
      <c r="F20" s="8" t="s">
        <v>14</v>
      </c>
      <c r="G20" s="26"/>
      <c r="H20" s="8" t="s">
        <v>10</v>
      </c>
      <c r="I20" s="26"/>
      <c r="J20" s="10">
        <f t="shared" si="0"/>
        <v>0</v>
      </c>
      <c r="K20" s="32" t="str">
        <f t="shared" si="1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11"/>
        <v>0</v>
      </c>
      <c r="V20" s="26">
        <f t="shared" si="12"/>
        <v>0</v>
      </c>
    </row>
    <row r="21" spans="2:22" x14ac:dyDescent="0.25">
      <c r="B21" s="8" t="s">
        <v>148</v>
      </c>
      <c r="C21" s="9">
        <v>2.5</v>
      </c>
      <c r="D21" s="9">
        <v>2.5099999999999998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0"/>
        <v>9.9999999999999995E-7</v>
      </c>
      <c r="K21" s="32" t="str">
        <f t="shared" si="1"/>
        <v>+II</v>
      </c>
      <c r="M21" s="31">
        <f t="shared" si="7"/>
        <v>0.99999899999999997</v>
      </c>
      <c r="N21" s="10">
        <f t="shared" si="8"/>
        <v>0.99999899999999997</v>
      </c>
      <c r="O21" s="10">
        <f t="shared" si="9"/>
        <v>9.9999999999999995E-7</v>
      </c>
      <c r="P21" s="10">
        <f t="shared" si="10"/>
        <v>9.9999999999999995E-7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6"/>
        <v>0</v>
      </c>
      <c r="U21" s="10">
        <f t="shared" si="11"/>
        <v>1.0000000000287557E-6</v>
      </c>
      <c r="V21" s="26">
        <f t="shared" si="12"/>
        <v>1.0000000000287557E-6</v>
      </c>
    </row>
    <row r="22" spans="2:22" x14ac:dyDescent="0.25">
      <c r="B22" s="8"/>
      <c r="C22" s="9">
        <v>2.5099999999999998</v>
      </c>
      <c r="D22" s="9">
        <v>2.8</v>
      </c>
      <c r="E22" s="23" t="s">
        <v>10</v>
      </c>
      <c r="F22" s="8" t="s">
        <v>14</v>
      </c>
      <c r="G22" s="26"/>
      <c r="H22" s="8" t="s">
        <v>10</v>
      </c>
      <c r="I22" s="26"/>
      <c r="J22" s="10">
        <f t="shared" si="0"/>
        <v>0</v>
      </c>
      <c r="K22" s="32" t="str">
        <f t="shared" si="1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11"/>
        <v>0</v>
      </c>
      <c r="V22" s="26">
        <f t="shared" si="12"/>
        <v>0</v>
      </c>
    </row>
    <row r="23" spans="2:22" x14ac:dyDescent="0.25">
      <c r="B23" s="8" t="s">
        <v>149</v>
      </c>
      <c r="C23" s="9">
        <v>2.8</v>
      </c>
      <c r="D23" s="9">
        <v>2.81</v>
      </c>
      <c r="E23" s="23" t="s">
        <v>9</v>
      </c>
      <c r="F23" s="8" t="s">
        <v>15</v>
      </c>
      <c r="G23" s="26">
        <v>9.9999999999999995E-7</v>
      </c>
      <c r="H23" s="8" t="s">
        <v>10</v>
      </c>
      <c r="I23" s="26"/>
      <c r="J23" s="10">
        <f t="shared" si="0"/>
        <v>9.9999999999999995E-7</v>
      </c>
      <c r="K23" s="32" t="str">
        <f t="shared" si="1"/>
        <v>+II</v>
      </c>
      <c r="M23" s="31">
        <f t="shared" si="7"/>
        <v>0.99999899999999997</v>
      </c>
      <c r="N23" s="10">
        <f t="shared" si="8"/>
        <v>0.99999899999999997</v>
      </c>
      <c r="O23" s="10">
        <f t="shared" si="9"/>
        <v>9.9999999999999995E-7</v>
      </c>
      <c r="P23" s="10">
        <f t="shared" si="10"/>
        <v>9.9999999999999995E-7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6"/>
        <v>0</v>
      </c>
      <c r="U23" s="10">
        <f t="shared" si="11"/>
        <v>1.0000000000287557E-6</v>
      </c>
      <c r="V23" s="26">
        <f t="shared" si="12"/>
        <v>1.0000000000287557E-6</v>
      </c>
    </row>
    <row r="24" spans="2:22" x14ac:dyDescent="0.25">
      <c r="B24" s="8"/>
      <c r="C24" s="9">
        <v>2.81</v>
      </c>
      <c r="D24" s="9">
        <v>5.9</v>
      </c>
      <c r="E24" s="23" t="s">
        <v>10</v>
      </c>
      <c r="F24" s="8" t="s">
        <v>14</v>
      </c>
      <c r="G24" s="26"/>
      <c r="H24" s="8" t="s">
        <v>10</v>
      </c>
      <c r="I24" s="26"/>
      <c r="J24" s="10">
        <f t="shared" si="0"/>
        <v>0</v>
      </c>
      <c r="K24" s="32" t="str">
        <f t="shared" si="1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11"/>
        <v>0</v>
      </c>
      <c r="V24" s="26">
        <f t="shared" si="12"/>
        <v>0</v>
      </c>
    </row>
    <row r="25" spans="2:22" x14ac:dyDescent="0.25">
      <c r="B25" s="8" t="s">
        <v>150</v>
      </c>
      <c r="C25" s="9">
        <v>5.9</v>
      </c>
      <c r="D25" s="9">
        <v>5.91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si="0"/>
        <v>9.9999999999999995E-7</v>
      </c>
      <c r="K25" s="32" t="str">
        <f t="shared" si="1"/>
        <v>+II</v>
      </c>
      <c r="M25" s="31">
        <f t="shared" si="7"/>
        <v>0.99999899999999997</v>
      </c>
      <c r="N25" s="10">
        <f t="shared" si="8"/>
        <v>0.99999899999999997</v>
      </c>
      <c r="O25" s="10">
        <f t="shared" si="9"/>
        <v>9.9999999999999995E-7</v>
      </c>
      <c r="P25" s="10">
        <f t="shared" si="10"/>
        <v>9.9999999999999995E-7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6"/>
        <v>0</v>
      </c>
      <c r="U25" s="10">
        <f t="shared" si="11"/>
        <v>1.0000000000287557E-6</v>
      </c>
      <c r="V25" s="26">
        <f t="shared" si="12"/>
        <v>1.0000000000287557E-6</v>
      </c>
    </row>
    <row r="26" spans="2:22" x14ac:dyDescent="0.25">
      <c r="B26" s="8"/>
      <c r="C26" s="9">
        <v>5.91</v>
      </c>
      <c r="D26" s="9">
        <v>6.7</v>
      </c>
      <c r="E26" s="23" t="s">
        <v>10</v>
      </c>
      <c r="F26" s="8" t="s">
        <v>14</v>
      </c>
      <c r="G26" s="26"/>
      <c r="H26" s="8" t="s">
        <v>10</v>
      </c>
      <c r="I26" s="26"/>
      <c r="J26" s="10">
        <f t="shared" si="0"/>
        <v>0</v>
      </c>
      <c r="K26" s="32" t="str">
        <f t="shared" si="1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11"/>
        <v>0</v>
      </c>
      <c r="V26" s="26">
        <f t="shared" si="12"/>
        <v>0</v>
      </c>
    </row>
    <row r="27" spans="2:22" x14ac:dyDescent="0.25">
      <c r="B27" s="8" t="s">
        <v>151</v>
      </c>
      <c r="C27" s="9">
        <v>6.7</v>
      </c>
      <c r="D27" s="9">
        <v>6.71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0"/>
        <v>9.9999999999999995E-7</v>
      </c>
      <c r="K27" s="32" t="str">
        <f t="shared" si="1"/>
        <v>+II</v>
      </c>
      <c r="M27" s="31">
        <f t="shared" si="7"/>
        <v>0.99999899999999997</v>
      </c>
      <c r="N27" s="10">
        <f t="shared" si="8"/>
        <v>0.99999899999999997</v>
      </c>
      <c r="O27" s="10">
        <f t="shared" si="9"/>
        <v>9.9999999999999995E-7</v>
      </c>
      <c r="P27" s="10">
        <f t="shared" si="10"/>
        <v>9.9999999999999995E-7</v>
      </c>
      <c r="Q27" s="9">
        <f t="array" ref="Q27">MIN(IF('Normen en duidingsklassen'!$E$13:$E$20&gt;=$J27,'Normen en duidingsklassen'!$E$13:$E$20))</f>
        <v>3.3333333333333333E-6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9" t="b">
        <f t="shared" si="6"/>
        <v>0</v>
      </c>
      <c r="U27" s="10">
        <f t="shared" si="11"/>
        <v>1.0000000000287557E-6</v>
      </c>
      <c r="V27" s="26">
        <f t="shared" si="12"/>
        <v>1.0000000000287557E-6</v>
      </c>
    </row>
    <row r="28" spans="2:22" x14ac:dyDescent="0.25">
      <c r="B28" s="8"/>
      <c r="C28" s="9">
        <v>6.71</v>
      </c>
      <c r="D28" s="9">
        <v>7.1</v>
      </c>
      <c r="E28" s="23" t="s">
        <v>10</v>
      </c>
      <c r="F28" s="8" t="s">
        <v>14</v>
      </c>
      <c r="G28" s="26"/>
      <c r="H28" s="8" t="s">
        <v>10</v>
      </c>
      <c r="I28" s="26"/>
      <c r="J28" s="10">
        <f t="shared" si="0"/>
        <v>0</v>
      </c>
      <c r="K28" s="32" t="str">
        <f t="shared" si="1"/>
        <v>NR</v>
      </c>
      <c r="M28" s="31">
        <f t="shared" si="7"/>
        <v>1</v>
      </c>
      <c r="N28" s="10">
        <f t="shared" si="8"/>
        <v>1</v>
      </c>
      <c r="O28" s="10">
        <f t="shared" si="9"/>
        <v>0</v>
      </c>
      <c r="P28" s="10">
        <f t="shared" si="10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6"/>
        <v>0</v>
      </c>
      <c r="U28" s="10">
        <f t="shared" si="11"/>
        <v>0</v>
      </c>
      <c r="V28" s="26">
        <f t="shared" si="12"/>
        <v>0</v>
      </c>
    </row>
    <row r="29" spans="2:22" x14ac:dyDescent="0.25">
      <c r="B29" s="8" t="s">
        <v>152</v>
      </c>
      <c r="C29" s="9">
        <v>7.1</v>
      </c>
      <c r="D29" s="9">
        <v>7.11</v>
      </c>
      <c r="E29" s="23" t="s">
        <v>9</v>
      </c>
      <c r="F29" s="8" t="s">
        <v>15</v>
      </c>
      <c r="G29" s="26">
        <v>9.9999999999999995E-7</v>
      </c>
      <c r="H29" s="8" t="s">
        <v>10</v>
      </c>
      <c r="I29" s="26"/>
      <c r="J29" s="10">
        <f t="shared" si="0"/>
        <v>9.9999999999999995E-7</v>
      </c>
      <c r="K29" s="32" t="str">
        <f t="shared" si="1"/>
        <v>+II</v>
      </c>
      <c r="M29" s="31">
        <f t="shared" si="7"/>
        <v>0.99999899999999997</v>
      </c>
      <c r="N29" s="10">
        <f t="shared" si="8"/>
        <v>0.99999899999999997</v>
      </c>
      <c r="O29" s="10">
        <f t="shared" si="9"/>
        <v>9.9999999999999995E-7</v>
      </c>
      <c r="P29" s="10">
        <f t="shared" si="10"/>
        <v>9.9999999999999995E-7</v>
      </c>
      <c r="Q29" s="9">
        <f t="array" ref="Q29">MIN(IF('Normen en duidingsklassen'!$E$13:$E$20&gt;=$J29,'Normen en duidingsklassen'!$E$13:$E$20))</f>
        <v>3.3333333333333333E-6</v>
      </c>
      <c r="R29" s="9">
        <f>IFERROR(MATCH($Q29,'Normen en duidingsklassen'!$E$13:$E$20,0),1)</f>
        <v>2</v>
      </c>
      <c r="S29" s="9" t="str">
        <f>INDEX('Normen en duidingsklassen'!$D$13:$D$20,R29)</f>
        <v>+II</v>
      </c>
      <c r="T29" s="9" t="b">
        <f t="shared" si="6"/>
        <v>0</v>
      </c>
      <c r="U29" s="10">
        <f t="shared" si="11"/>
        <v>1.0000000000287557E-6</v>
      </c>
      <c r="V29" s="26">
        <f t="shared" si="12"/>
        <v>1.0000000000287557E-6</v>
      </c>
    </row>
    <row r="30" spans="2:22" x14ac:dyDescent="0.25">
      <c r="B30" s="8"/>
      <c r="C30" s="9">
        <v>7.11</v>
      </c>
      <c r="D30" s="9">
        <v>7.7</v>
      </c>
      <c r="E30" s="23" t="s">
        <v>10</v>
      </c>
      <c r="F30" s="8" t="s">
        <v>14</v>
      </c>
      <c r="G30" s="26"/>
      <c r="H30" s="8" t="s">
        <v>10</v>
      </c>
      <c r="I30" s="26"/>
      <c r="J30" s="10">
        <f t="shared" si="0"/>
        <v>0</v>
      </c>
      <c r="K30" s="32" t="str">
        <f t="shared" si="1"/>
        <v>NR</v>
      </c>
      <c r="M30" s="31">
        <f t="shared" si="7"/>
        <v>1</v>
      </c>
      <c r="N30" s="10">
        <f t="shared" si="8"/>
        <v>1</v>
      </c>
      <c r="O30" s="10">
        <f t="shared" si="9"/>
        <v>0</v>
      </c>
      <c r="P30" s="10">
        <f t="shared" si="10"/>
        <v>0</v>
      </c>
      <c r="Q30" s="9">
        <f t="array" ref="Q30">MIN(IF('Normen en duidingsklassen'!$E$13:$E$20&gt;=$J30,'Normen en duidingsklassen'!$E$13:$E$20))</f>
        <v>0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11"/>
        <v>0</v>
      </c>
      <c r="V30" s="26">
        <f t="shared" si="12"/>
        <v>0</v>
      </c>
    </row>
    <row r="31" spans="2:22" x14ac:dyDescent="0.25">
      <c r="B31" s="8" t="s">
        <v>153</v>
      </c>
      <c r="C31" s="9">
        <v>7.7</v>
      </c>
      <c r="D31" s="9">
        <v>7.71</v>
      </c>
      <c r="E31" s="23" t="s">
        <v>9</v>
      </c>
      <c r="F31" s="8" t="s">
        <v>15</v>
      </c>
      <c r="G31" s="26">
        <v>1.4100000000000001E-6</v>
      </c>
      <c r="H31" s="8" t="s">
        <v>10</v>
      </c>
      <c r="I31" s="26"/>
      <c r="J31" s="10">
        <f t="shared" si="0"/>
        <v>1.4100000000000001E-6</v>
      </c>
      <c r="K31" s="32" t="str">
        <f t="shared" si="1"/>
        <v>+II</v>
      </c>
      <c r="M31" s="31">
        <f t="shared" si="7"/>
        <v>0.99999859000000002</v>
      </c>
      <c r="N31" s="10">
        <f t="shared" si="8"/>
        <v>0.99999859000000002</v>
      </c>
      <c r="O31" s="10">
        <f t="shared" si="9"/>
        <v>1.4100000000000001E-6</v>
      </c>
      <c r="P31" s="10">
        <f t="shared" si="10"/>
        <v>1.4100000000000001E-6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9" t="b">
        <f t="shared" si="6"/>
        <v>0</v>
      </c>
      <c r="U31" s="10">
        <f t="shared" si="11"/>
        <v>1.4099999999794832E-6</v>
      </c>
      <c r="V31" s="26">
        <f t="shared" si="12"/>
        <v>1.4099999999794832E-6</v>
      </c>
    </row>
    <row r="32" spans="2:22" x14ac:dyDescent="0.25">
      <c r="B32" s="8"/>
      <c r="C32" s="9">
        <v>7.71</v>
      </c>
      <c r="D32" s="9">
        <v>8.25</v>
      </c>
      <c r="E32" s="23" t="s">
        <v>10</v>
      </c>
      <c r="F32" s="8" t="s">
        <v>14</v>
      </c>
      <c r="G32" s="26"/>
      <c r="H32" s="8" t="s">
        <v>10</v>
      </c>
      <c r="I32" s="26"/>
      <c r="J32" s="10">
        <f t="shared" si="0"/>
        <v>0</v>
      </c>
      <c r="K32" s="32" t="str">
        <f t="shared" si="1"/>
        <v>NR</v>
      </c>
      <c r="M32" s="31">
        <f t="shared" si="7"/>
        <v>1</v>
      </c>
      <c r="N32" s="10">
        <f t="shared" si="8"/>
        <v>1</v>
      </c>
      <c r="O32" s="10">
        <f t="shared" si="9"/>
        <v>0</v>
      </c>
      <c r="P32" s="10">
        <f t="shared" si="10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11"/>
        <v>0</v>
      </c>
      <c r="V32" s="26">
        <f t="shared" si="12"/>
        <v>0</v>
      </c>
    </row>
    <row r="33" spans="2:22" x14ac:dyDescent="0.25">
      <c r="B33" s="8" t="s">
        <v>154</v>
      </c>
      <c r="C33" s="9">
        <v>8.25</v>
      </c>
      <c r="D33" s="9">
        <v>8.26</v>
      </c>
      <c r="E33" s="23" t="s">
        <v>9</v>
      </c>
      <c r="F33" s="8" t="s">
        <v>15</v>
      </c>
      <c r="G33" s="26">
        <v>9.9999999999999995E-7</v>
      </c>
      <c r="H33" s="8" t="s">
        <v>10</v>
      </c>
      <c r="I33" s="26"/>
      <c r="J33" s="10">
        <f t="shared" si="0"/>
        <v>9.9999999999999995E-7</v>
      </c>
      <c r="K33" s="32" t="str">
        <f t="shared" si="1"/>
        <v>+II</v>
      </c>
      <c r="M33" s="31">
        <f t="shared" si="7"/>
        <v>0.99999899999999997</v>
      </c>
      <c r="N33" s="10">
        <f t="shared" si="8"/>
        <v>0.99999899999999997</v>
      </c>
      <c r="O33" s="10">
        <f t="shared" si="9"/>
        <v>9.9999999999999995E-7</v>
      </c>
      <c r="P33" s="10">
        <f t="shared" si="10"/>
        <v>9.9999999999999995E-7</v>
      </c>
      <c r="Q33" s="9">
        <f t="array" ref="Q33">MIN(IF('Normen en duidingsklassen'!$E$13:$E$20&gt;=$J33,'Normen en duidingsklassen'!$E$13:$E$20))</f>
        <v>3.3333333333333333E-6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9" t="b">
        <f t="shared" si="6"/>
        <v>0</v>
      </c>
      <c r="U33" s="10">
        <f t="shared" si="11"/>
        <v>1.0000000000287557E-6</v>
      </c>
      <c r="V33" s="26">
        <f t="shared" si="12"/>
        <v>1.0000000000287557E-6</v>
      </c>
    </row>
    <row r="34" spans="2:22" x14ac:dyDescent="0.25">
      <c r="B34" s="8"/>
      <c r="C34" s="9">
        <v>8.26</v>
      </c>
      <c r="D34" s="9">
        <v>10</v>
      </c>
      <c r="E34" s="23" t="s">
        <v>10</v>
      </c>
      <c r="F34" s="8" t="s">
        <v>14</v>
      </c>
      <c r="G34" s="26"/>
      <c r="H34" s="8" t="s">
        <v>10</v>
      </c>
      <c r="I34" s="26"/>
      <c r="J34" s="10">
        <f t="shared" si="0"/>
        <v>0</v>
      </c>
      <c r="K34" s="32" t="str">
        <f t="shared" si="1"/>
        <v>NR</v>
      </c>
      <c r="M34" s="31">
        <f t="shared" si="7"/>
        <v>1</v>
      </c>
      <c r="N34" s="10">
        <f t="shared" si="8"/>
        <v>1</v>
      </c>
      <c r="O34" s="10">
        <f t="shared" si="9"/>
        <v>0</v>
      </c>
      <c r="P34" s="10">
        <f t="shared" si="10"/>
        <v>0</v>
      </c>
      <c r="Q34" s="9">
        <f t="array" ref="Q34">MIN(IF('Normen en duidingsklassen'!$E$13:$E$20&gt;=$J34,'Normen en duidingsklassen'!$E$13:$E$20))</f>
        <v>0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6"/>
        <v>0</v>
      </c>
      <c r="U34" s="10">
        <f t="shared" si="11"/>
        <v>0</v>
      </c>
      <c r="V34" s="26">
        <f t="shared" si="12"/>
        <v>0</v>
      </c>
    </row>
    <row r="35" spans="2:22" x14ac:dyDescent="0.25">
      <c r="B35" s="8" t="s">
        <v>155</v>
      </c>
      <c r="C35" s="9">
        <v>10</v>
      </c>
      <c r="D35" s="9">
        <v>10.01</v>
      </c>
      <c r="E35" s="23" t="s">
        <v>9</v>
      </c>
      <c r="F35" s="8" t="s">
        <v>15</v>
      </c>
      <c r="G35" s="26">
        <v>5.0000000000000004E-6</v>
      </c>
      <c r="H35" s="8" t="s">
        <v>10</v>
      </c>
      <c r="I35" s="26"/>
      <c r="J35" s="10">
        <f t="shared" si="0"/>
        <v>5.0000000000000004E-6</v>
      </c>
      <c r="K35" s="32" t="str">
        <f t="shared" si="1"/>
        <v>+I</v>
      </c>
      <c r="M35" s="31">
        <f t="shared" si="7"/>
        <v>0.99999499999999997</v>
      </c>
      <c r="N35" s="10">
        <f t="shared" si="8"/>
        <v>0.99999499999999997</v>
      </c>
      <c r="O35" s="10">
        <f t="shared" si="9"/>
        <v>5.0000000000000004E-6</v>
      </c>
      <c r="P35" s="10">
        <f t="shared" si="10"/>
        <v>5.0000000000000004E-6</v>
      </c>
      <c r="Q35" s="9">
        <f t="array" ref="Q35">MIN(IF('Normen en duidingsklassen'!$E$13:$E$20&gt;=$J35,'Normen en duidingsklassen'!$E$13:$E$20))</f>
        <v>3.3333333333333335E-5</v>
      </c>
      <c r="R35" s="9">
        <f>IFERROR(MATCH($Q35,'Normen en duidingsklassen'!$E$13:$E$20,0),1)</f>
        <v>3</v>
      </c>
      <c r="S35" s="9" t="str">
        <f>INDEX('Normen en duidingsklassen'!$D$13:$D$20,R35)</f>
        <v>+I</v>
      </c>
      <c r="T35" s="9" t="b">
        <f t="shared" si="6"/>
        <v>0</v>
      </c>
      <c r="U35" s="10">
        <f t="shared" si="11"/>
        <v>5.000000000032756E-6</v>
      </c>
      <c r="V35" s="26">
        <f t="shared" si="12"/>
        <v>5.000000000032756E-6</v>
      </c>
    </row>
    <row r="36" spans="2:22" x14ac:dyDescent="0.25">
      <c r="B36" s="8"/>
      <c r="C36" s="9">
        <v>10.01</v>
      </c>
      <c r="D36" s="9">
        <v>10.199999999999999</v>
      </c>
      <c r="E36" s="23" t="s">
        <v>10</v>
      </c>
      <c r="F36" s="8" t="s">
        <v>14</v>
      </c>
      <c r="G36" s="26"/>
      <c r="H36" s="8" t="s">
        <v>10</v>
      </c>
      <c r="I36" s="26"/>
      <c r="J36" s="10">
        <f t="shared" si="0"/>
        <v>0</v>
      </c>
      <c r="K36" s="32" t="str">
        <f t="shared" si="1"/>
        <v>NR</v>
      </c>
      <c r="M36" s="31">
        <f t="shared" si="7"/>
        <v>1</v>
      </c>
      <c r="N36" s="10">
        <f t="shared" si="8"/>
        <v>1</v>
      </c>
      <c r="O36" s="10">
        <f t="shared" si="9"/>
        <v>0</v>
      </c>
      <c r="P36" s="10">
        <f t="shared" si="10"/>
        <v>0</v>
      </c>
      <c r="Q36" s="9">
        <f t="array" ref="Q36">MIN(IF('Normen en duidingsklassen'!$E$13:$E$20&gt;=$J36,'Normen en duidingsklassen'!$E$13:$E$20))</f>
        <v>0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6"/>
        <v>0</v>
      </c>
      <c r="U36" s="10">
        <f t="shared" si="11"/>
        <v>0</v>
      </c>
      <c r="V36" s="26">
        <f t="shared" si="12"/>
        <v>0</v>
      </c>
    </row>
    <row r="37" spans="2:22" x14ac:dyDescent="0.25">
      <c r="B37" s="8" t="s">
        <v>156</v>
      </c>
      <c r="C37" s="9">
        <v>10.199999999999999</v>
      </c>
      <c r="D37" s="9">
        <v>10.210000000000001</v>
      </c>
      <c r="E37" s="23" t="s">
        <v>9</v>
      </c>
      <c r="F37" s="8" t="s">
        <v>15</v>
      </c>
      <c r="G37" s="26">
        <v>8.3299999999999999E-6</v>
      </c>
      <c r="H37" s="8" t="s">
        <v>10</v>
      </c>
      <c r="I37" s="26"/>
      <c r="J37" s="10">
        <f t="shared" si="0"/>
        <v>8.3299999999999999E-6</v>
      </c>
      <c r="K37" s="32" t="str">
        <f t="shared" si="1"/>
        <v>+I</v>
      </c>
      <c r="M37" s="31">
        <f t="shared" si="7"/>
        <v>0.99999167</v>
      </c>
      <c r="N37" s="10">
        <f t="shared" si="8"/>
        <v>0.99999167</v>
      </c>
      <c r="O37" s="10">
        <f t="shared" si="9"/>
        <v>8.3299999999999999E-6</v>
      </c>
      <c r="P37" s="10">
        <f t="shared" si="10"/>
        <v>8.3299999999999999E-6</v>
      </c>
      <c r="Q37" s="9">
        <f t="array" ref="Q37">MIN(IF('Normen en duidingsklassen'!$E$13:$E$20&gt;=$J37,'Normen en duidingsklassen'!$E$13:$E$20))</f>
        <v>3.3333333333333335E-5</v>
      </c>
      <c r="R37" s="9">
        <f>IFERROR(MATCH($Q37,'Normen en duidingsklassen'!$E$13:$E$20,0),1)</f>
        <v>3</v>
      </c>
      <c r="S37" s="9" t="str">
        <f>INDEX('Normen en duidingsklassen'!$D$13:$D$20,R37)</f>
        <v>+I</v>
      </c>
      <c r="T37" s="9" t="b">
        <f t="shared" si="6"/>
        <v>0</v>
      </c>
      <c r="U37" s="10">
        <f t="shared" si="11"/>
        <v>8.3300000000008367E-6</v>
      </c>
      <c r="V37" s="26">
        <f t="shared" si="12"/>
        <v>8.3300000000008367E-6</v>
      </c>
    </row>
    <row r="38" spans="2:22" x14ac:dyDescent="0.25">
      <c r="B38" s="8"/>
      <c r="C38" s="9">
        <v>10.210000000000001</v>
      </c>
      <c r="D38" s="9">
        <v>10.55</v>
      </c>
      <c r="E38" s="23" t="s">
        <v>10</v>
      </c>
      <c r="F38" s="8" t="s">
        <v>14</v>
      </c>
      <c r="G38" s="26"/>
      <c r="H38" s="8" t="s">
        <v>10</v>
      </c>
      <c r="I38" s="26"/>
      <c r="J38" s="10">
        <f t="shared" si="0"/>
        <v>0</v>
      </c>
      <c r="K38" s="32" t="str">
        <f t="shared" si="1"/>
        <v>NR</v>
      </c>
      <c r="M38" s="31">
        <f t="shared" si="7"/>
        <v>1</v>
      </c>
      <c r="N38" s="10">
        <f t="shared" si="8"/>
        <v>1</v>
      </c>
      <c r="O38" s="10">
        <f t="shared" si="9"/>
        <v>0</v>
      </c>
      <c r="P38" s="10">
        <f t="shared" si="10"/>
        <v>0</v>
      </c>
      <c r="Q38" s="9">
        <f t="array" ref="Q38">MIN(IF('Normen en duidingsklassen'!$E$13:$E$20&gt;=$J38,'Normen en duidingsklassen'!$E$13:$E$20))</f>
        <v>0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9" t="b">
        <f t="shared" si="6"/>
        <v>0</v>
      </c>
      <c r="U38" s="10">
        <f t="shared" si="11"/>
        <v>0</v>
      </c>
      <c r="V38" s="26">
        <f t="shared" si="12"/>
        <v>0</v>
      </c>
    </row>
    <row r="39" spans="2:22" x14ac:dyDescent="0.25">
      <c r="B39" s="8" t="s">
        <v>157</v>
      </c>
      <c r="C39" s="9">
        <v>10.55</v>
      </c>
      <c r="D39" s="9">
        <v>10.56</v>
      </c>
      <c r="E39" s="23" t="s">
        <v>9</v>
      </c>
      <c r="F39" s="8" t="s">
        <v>15</v>
      </c>
      <c r="G39" s="26">
        <v>2.4399999999999999E-6</v>
      </c>
      <c r="H39" s="8" t="s">
        <v>10</v>
      </c>
      <c r="I39" s="26"/>
      <c r="J39" s="10">
        <f t="shared" si="0"/>
        <v>2.4399999999999999E-6</v>
      </c>
      <c r="K39" s="32" t="str">
        <f t="shared" si="1"/>
        <v>+II</v>
      </c>
      <c r="M39" s="31">
        <f t="shared" si="7"/>
        <v>0.99999755999999995</v>
      </c>
      <c r="N39" s="10">
        <f t="shared" si="8"/>
        <v>0.99999755999999995</v>
      </c>
      <c r="O39" s="10">
        <f t="shared" si="9"/>
        <v>2.4399999999999999E-6</v>
      </c>
      <c r="P39" s="10">
        <f t="shared" si="10"/>
        <v>2.4399999999999999E-6</v>
      </c>
      <c r="Q39" s="9">
        <f t="array" ref="Q39">MIN(IF('Normen en duidingsklassen'!$E$13:$E$20&gt;=$J39,'Normen en duidingsklassen'!$E$13:$E$20))</f>
        <v>3.3333333333333333E-6</v>
      </c>
      <c r="R39" s="9">
        <f>IFERROR(MATCH($Q39,'Normen en duidingsklassen'!$E$13:$E$20,0),1)</f>
        <v>2</v>
      </c>
      <c r="S39" s="9" t="str">
        <f>INDEX('Normen en duidingsklassen'!$D$13:$D$20,R39)</f>
        <v>+II</v>
      </c>
      <c r="T39" s="9" t="b">
        <f t="shared" si="6"/>
        <v>0</v>
      </c>
      <c r="U39" s="10">
        <f t="shared" si="11"/>
        <v>2.4400000000479594E-6</v>
      </c>
      <c r="V39" s="26">
        <f t="shared" si="12"/>
        <v>2.4400000000479594E-6</v>
      </c>
    </row>
    <row r="40" spans="2:22" x14ac:dyDescent="0.25">
      <c r="B40" s="8"/>
      <c r="C40" s="9">
        <v>10.56</v>
      </c>
      <c r="D40" s="9">
        <v>11</v>
      </c>
      <c r="E40" s="23" t="s">
        <v>10</v>
      </c>
      <c r="F40" s="8" t="s">
        <v>14</v>
      </c>
      <c r="G40" s="26"/>
      <c r="H40" s="8" t="s">
        <v>10</v>
      </c>
      <c r="I40" s="26"/>
      <c r="J40" s="10">
        <f t="shared" si="0"/>
        <v>0</v>
      </c>
      <c r="K40" s="32" t="str">
        <f t="shared" si="1"/>
        <v>NR</v>
      </c>
      <c r="M40" s="31">
        <f t="shared" si="7"/>
        <v>1</v>
      </c>
      <c r="N40" s="10">
        <f t="shared" si="8"/>
        <v>1</v>
      </c>
      <c r="O40" s="10">
        <f t="shared" si="9"/>
        <v>0</v>
      </c>
      <c r="P40" s="10">
        <f t="shared" si="10"/>
        <v>0</v>
      </c>
      <c r="Q40" s="9">
        <f t="array" ref="Q40">MIN(IF('Normen en duidingsklassen'!$E$13:$E$20&gt;=$J40,'Normen en duidingsklassen'!$E$13:$E$20))</f>
        <v>0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 t="shared" si="6"/>
        <v>0</v>
      </c>
      <c r="U40" s="10">
        <f t="shared" si="11"/>
        <v>0</v>
      </c>
      <c r="V40" s="26">
        <f t="shared" si="12"/>
        <v>0</v>
      </c>
    </row>
    <row r="41" spans="2:22" x14ac:dyDescent="0.25">
      <c r="B41" s="8" t="s">
        <v>158</v>
      </c>
      <c r="C41" s="9">
        <v>11</v>
      </c>
      <c r="D41" s="9">
        <v>11.01</v>
      </c>
      <c r="E41" s="23" t="s">
        <v>9</v>
      </c>
      <c r="F41" s="8" t="s">
        <v>15</v>
      </c>
      <c r="G41" s="26">
        <v>1.61E-6</v>
      </c>
      <c r="H41" s="8" t="s">
        <v>10</v>
      </c>
      <c r="I41" s="26"/>
      <c r="J41" s="10">
        <f t="shared" si="0"/>
        <v>1.61E-6</v>
      </c>
      <c r="K41" s="32" t="str">
        <f t="shared" si="1"/>
        <v>+II</v>
      </c>
      <c r="M41" s="31">
        <f t="shared" si="7"/>
        <v>0.99999839000000001</v>
      </c>
      <c r="N41" s="10">
        <f t="shared" si="8"/>
        <v>0.99999839000000001</v>
      </c>
      <c r="O41" s="10">
        <f t="shared" si="9"/>
        <v>1.61E-6</v>
      </c>
      <c r="P41" s="10">
        <f t="shared" si="10"/>
        <v>1.61E-6</v>
      </c>
      <c r="Q41" s="9">
        <f t="array" ref="Q41">MIN(IF('Normen en duidingsklassen'!$E$13:$E$20&gt;=$J41,'Normen en duidingsklassen'!$E$13:$E$20))</f>
        <v>3.3333333333333333E-6</v>
      </c>
      <c r="R41" s="9">
        <f>IFERROR(MATCH($Q41,'Normen en duidingsklassen'!$E$13:$E$20,0),1)</f>
        <v>2</v>
      </c>
      <c r="S41" s="9" t="str">
        <f>INDEX('Normen en duidingsklassen'!$D$13:$D$20,R41)</f>
        <v>+II</v>
      </c>
      <c r="T41" s="9" t="b">
        <f t="shared" si="6"/>
        <v>0</v>
      </c>
      <c r="U41" s="10">
        <f t="shared" si="11"/>
        <v>1.6099999999852344E-6</v>
      </c>
      <c r="V41" s="26">
        <f t="shared" si="12"/>
        <v>1.6099999999852344E-6</v>
      </c>
    </row>
    <row r="42" spans="2:22" x14ac:dyDescent="0.25">
      <c r="B42" s="8"/>
      <c r="C42" s="9">
        <v>11.01</v>
      </c>
      <c r="D42" s="9">
        <v>11.8</v>
      </c>
      <c r="E42" s="23" t="s">
        <v>10</v>
      </c>
      <c r="F42" s="8" t="s">
        <v>14</v>
      </c>
      <c r="G42" s="26"/>
      <c r="H42" s="8" t="s">
        <v>10</v>
      </c>
      <c r="I42" s="26"/>
      <c r="J42" s="10">
        <f t="shared" si="0"/>
        <v>0</v>
      </c>
      <c r="K42" s="32" t="str">
        <f t="shared" si="1"/>
        <v>NR</v>
      </c>
      <c r="M42" s="31">
        <f t="shared" si="7"/>
        <v>1</v>
      </c>
      <c r="N42" s="10">
        <f t="shared" si="8"/>
        <v>1</v>
      </c>
      <c r="O42" s="10">
        <f t="shared" si="9"/>
        <v>0</v>
      </c>
      <c r="P42" s="10">
        <f t="shared" si="10"/>
        <v>0</v>
      </c>
      <c r="Q42" s="9">
        <f t="array" ref="Q42">MIN(IF('Normen en duidingsklassen'!$E$13:$E$20&gt;=$J42,'Normen en duidingsklassen'!$E$13:$E$20))</f>
        <v>0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 t="shared" si="6"/>
        <v>0</v>
      </c>
      <c r="U42" s="10">
        <f t="shared" si="11"/>
        <v>0</v>
      </c>
      <c r="V42" s="26">
        <f t="shared" si="12"/>
        <v>0</v>
      </c>
    </row>
    <row r="43" spans="2:22" x14ac:dyDescent="0.25">
      <c r="B43" s="8" t="s">
        <v>159</v>
      </c>
      <c r="C43" s="9">
        <v>11.8</v>
      </c>
      <c r="D43" s="9">
        <v>11.81</v>
      </c>
      <c r="E43" s="23" t="s">
        <v>9</v>
      </c>
      <c r="F43" s="8" t="s">
        <v>15</v>
      </c>
      <c r="G43" s="26">
        <v>9.9999999999999995E-7</v>
      </c>
      <c r="H43" s="8" t="s">
        <v>10</v>
      </c>
      <c r="I43" s="26"/>
      <c r="J43" s="10">
        <f t="shared" si="0"/>
        <v>9.9999999999999995E-7</v>
      </c>
      <c r="K43" s="32" t="str">
        <f t="shared" si="1"/>
        <v>+II</v>
      </c>
      <c r="M43" s="31">
        <f t="shared" si="7"/>
        <v>0.99999899999999997</v>
      </c>
      <c r="N43" s="10">
        <f t="shared" si="8"/>
        <v>0.99999899999999997</v>
      </c>
      <c r="O43" s="10">
        <f t="shared" si="9"/>
        <v>9.9999999999999995E-7</v>
      </c>
      <c r="P43" s="10">
        <f t="shared" si="10"/>
        <v>9.9999999999999995E-7</v>
      </c>
      <c r="Q43" s="9">
        <f t="array" ref="Q43">MIN(IF('Normen en duidingsklassen'!$E$13:$E$20&gt;=$J43,'Normen en duidingsklassen'!$E$13:$E$20))</f>
        <v>3.3333333333333333E-6</v>
      </c>
      <c r="R43" s="9">
        <f>IFERROR(MATCH($Q43,'Normen en duidingsklassen'!$E$13:$E$20,0),1)</f>
        <v>2</v>
      </c>
      <c r="S43" s="9" t="str">
        <f>INDEX('Normen en duidingsklassen'!$D$13:$D$20,R43)</f>
        <v>+II</v>
      </c>
      <c r="T43" s="9" t="b">
        <f t="shared" si="6"/>
        <v>0</v>
      </c>
      <c r="U43" s="10">
        <f t="shared" si="11"/>
        <v>1.0000000000287557E-6</v>
      </c>
      <c r="V43" s="26">
        <f t="shared" si="12"/>
        <v>1.0000000000287557E-6</v>
      </c>
    </row>
    <row r="44" spans="2:22" x14ac:dyDescent="0.25">
      <c r="B44" s="8"/>
      <c r="C44" s="9">
        <v>11.81</v>
      </c>
      <c r="D44" s="9">
        <v>13</v>
      </c>
      <c r="E44" s="23" t="s">
        <v>10</v>
      </c>
      <c r="F44" s="8" t="s">
        <v>14</v>
      </c>
      <c r="G44" s="26"/>
      <c r="H44" s="8" t="s">
        <v>10</v>
      </c>
      <c r="I44" s="26"/>
      <c r="J44" s="10">
        <f t="shared" si="0"/>
        <v>0</v>
      </c>
      <c r="K44" s="32" t="str">
        <f t="shared" si="1"/>
        <v>NR</v>
      </c>
      <c r="M44" s="31">
        <f t="shared" si="7"/>
        <v>1</v>
      </c>
      <c r="N44" s="10">
        <f t="shared" si="8"/>
        <v>1</v>
      </c>
      <c r="O44" s="10">
        <f t="shared" si="9"/>
        <v>0</v>
      </c>
      <c r="P44" s="10">
        <f t="shared" si="10"/>
        <v>0</v>
      </c>
      <c r="Q44" s="9">
        <f t="array" ref="Q44">MIN(IF('Normen en duidingsklassen'!$E$13:$E$20&gt;=$J44,'Normen en duidingsklassen'!$E$13:$E$20))</f>
        <v>0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 t="shared" si="6"/>
        <v>0</v>
      </c>
      <c r="U44" s="10">
        <f t="shared" si="11"/>
        <v>0</v>
      </c>
      <c r="V44" s="26">
        <f t="shared" si="12"/>
        <v>0</v>
      </c>
    </row>
    <row r="45" spans="2:22" x14ac:dyDescent="0.25">
      <c r="B45" s="8" t="s">
        <v>160</v>
      </c>
      <c r="C45" s="9">
        <v>13</v>
      </c>
      <c r="D45" s="9">
        <v>13.01</v>
      </c>
      <c r="E45" s="23" t="s">
        <v>9</v>
      </c>
      <c r="F45" s="8" t="s">
        <v>15</v>
      </c>
      <c r="G45" s="26">
        <v>4.7600000000000002E-6</v>
      </c>
      <c r="H45" s="8" t="s">
        <v>10</v>
      </c>
      <c r="I45" s="26"/>
      <c r="J45" s="10">
        <f t="shared" si="0"/>
        <v>4.7600000000000002E-6</v>
      </c>
      <c r="K45" s="32" t="str">
        <f t="shared" si="1"/>
        <v>+I</v>
      </c>
      <c r="M45" s="31">
        <f t="shared" si="7"/>
        <v>0.99999523999999995</v>
      </c>
      <c r="N45" s="10">
        <f t="shared" si="8"/>
        <v>0.99999523999999995</v>
      </c>
      <c r="O45" s="10">
        <f t="shared" si="9"/>
        <v>4.7600000000000002E-6</v>
      </c>
      <c r="P45" s="10">
        <f t="shared" si="10"/>
        <v>4.7600000000000002E-6</v>
      </c>
      <c r="Q45" s="9">
        <f t="array" ref="Q45">MIN(IF('Normen en duidingsklassen'!$E$13:$E$20&gt;=$J45,'Normen en duidingsklassen'!$E$13:$E$20))</f>
        <v>3.3333333333333335E-5</v>
      </c>
      <c r="R45" s="9">
        <f>IFERROR(MATCH($Q45,'Normen en duidingsklassen'!$E$13:$E$20,0),1)</f>
        <v>3</v>
      </c>
      <c r="S45" s="9" t="str">
        <f>INDEX('Normen en duidingsklassen'!$D$13:$D$20,R45)</f>
        <v>+I</v>
      </c>
      <c r="T45" s="9" t="b">
        <f t="shared" si="6"/>
        <v>0</v>
      </c>
      <c r="U45" s="10">
        <f t="shared" si="11"/>
        <v>4.7600000000480591E-6</v>
      </c>
      <c r="V45" s="26">
        <f t="shared" si="12"/>
        <v>4.7600000000480591E-6</v>
      </c>
    </row>
    <row r="46" spans="2:22" x14ac:dyDescent="0.25">
      <c r="B46" s="8"/>
      <c r="C46" s="9">
        <v>13.01</v>
      </c>
      <c r="D46" s="9">
        <v>13.4</v>
      </c>
      <c r="E46" s="23" t="s">
        <v>10</v>
      </c>
      <c r="F46" s="8" t="s">
        <v>14</v>
      </c>
      <c r="G46" s="26"/>
      <c r="H46" s="8" t="s">
        <v>10</v>
      </c>
      <c r="I46" s="26"/>
      <c r="J46" s="10">
        <f t="shared" si="0"/>
        <v>0</v>
      </c>
      <c r="K46" s="32" t="str">
        <f t="shared" si="1"/>
        <v>NR</v>
      </c>
      <c r="M46" s="31">
        <f t="shared" si="7"/>
        <v>1</v>
      </c>
      <c r="N46" s="10">
        <f t="shared" si="8"/>
        <v>1</v>
      </c>
      <c r="O46" s="10">
        <f t="shared" si="9"/>
        <v>0</v>
      </c>
      <c r="P46" s="10">
        <f t="shared" si="10"/>
        <v>0</v>
      </c>
      <c r="Q46" s="9">
        <f t="array" ref="Q46">MIN(IF('Normen en duidingsklassen'!$E$13:$E$20&gt;=$J46,'Normen en duidingsklassen'!$E$13:$E$20))</f>
        <v>0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 t="shared" si="6"/>
        <v>0</v>
      </c>
      <c r="U46" s="10">
        <f t="shared" si="11"/>
        <v>0</v>
      </c>
      <c r="V46" s="26">
        <f t="shared" si="12"/>
        <v>0</v>
      </c>
    </row>
    <row r="47" spans="2:22" x14ac:dyDescent="0.25">
      <c r="B47" s="8" t="s">
        <v>161</v>
      </c>
      <c r="C47" s="9">
        <v>13.4</v>
      </c>
      <c r="D47" s="9">
        <v>13.41</v>
      </c>
      <c r="E47" s="23" t="s">
        <v>9</v>
      </c>
      <c r="F47" s="8" t="s">
        <v>15</v>
      </c>
      <c r="G47" s="26">
        <v>2.6299999999999998E-6</v>
      </c>
      <c r="H47" s="8" t="s">
        <v>10</v>
      </c>
      <c r="I47" s="26"/>
      <c r="J47" s="10">
        <f t="shared" si="0"/>
        <v>2.6299999999999998E-6</v>
      </c>
      <c r="K47" s="32" t="str">
        <f t="shared" si="1"/>
        <v>+II</v>
      </c>
      <c r="M47" s="31">
        <f t="shared" si="7"/>
        <v>0.99999737</v>
      </c>
      <c r="N47" s="10">
        <f t="shared" si="8"/>
        <v>0.99999737</v>
      </c>
      <c r="O47" s="10">
        <f t="shared" si="9"/>
        <v>2.6299999999999998E-6</v>
      </c>
      <c r="P47" s="10">
        <f t="shared" si="10"/>
        <v>2.6299999999999998E-6</v>
      </c>
      <c r="Q47" s="9">
        <f t="array" ref="Q47">MIN(IF('Normen en duidingsklassen'!$E$13:$E$20&gt;=$J47,'Normen en duidingsklassen'!$E$13:$E$20))</f>
        <v>3.3333333333333333E-6</v>
      </c>
      <c r="R47" s="9">
        <f>IFERROR(MATCH($Q47,'Normen en duidingsklassen'!$E$13:$E$20,0),1)</f>
        <v>2</v>
      </c>
      <c r="S47" s="9" t="str">
        <f>INDEX('Normen en duidingsklassen'!$D$13:$D$20,R47)</f>
        <v>+II</v>
      </c>
      <c r="T47" s="9" t="b">
        <f t="shared" si="6"/>
        <v>0</v>
      </c>
      <c r="U47" s="10">
        <f t="shared" si="11"/>
        <v>2.6300000000034629E-6</v>
      </c>
      <c r="V47" s="26">
        <f t="shared" si="12"/>
        <v>2.6300000000034629E-6</v>
      </c>
    </row>
    <row r="48" spans="2:22" x14ac:dyDescent="0.25">
      <c r="B48" s="8"/>
      <c r="C48" s="9">
        <v>13.41</v>
      </c>
      <c r="D48" s="9">
        <v>13.9</v>
      </c>
      <c r="E48" s="23" t="s">
        <v>10</v>
      </c>
      <c r="F48" s="8" t="s">
        <v>14</v>
      </c>
      <c r="G48" s="26"/>
      <c r="H48" s="8" t="s">
        <v>10</v>
      </c>
      <c r="I48" s="26"/>
      <c r="J48" s="10">
        <f t="shared" si="0"/>
        <v>0</v>
      </c>
      <c r="K48" s="32" t="str">
        <f t="shared" si="1"/>
        <v>NR</v>
      </c>
      <c r="M48" s="31">
        <f t="shared" si="7"/>
        <v>1</v>
      </c>
      <c r="N48" s="10">
        <f t="shared" si="8"/>
        <v>1</v>
      </c>
      <c r="O48" s="10">
        <f t="shared" si="9"/>
        <v>0</v>
      </c>
      <c r="P48" s="10">
        <f t="shared" si="10"/>
        <v>0</v>
      </c>
      <c r="Q48" s="9">
        <f t="array" ref="Q48">MIN(IF('Normen en duidingsklassen'!$E$13:$E$20&gt;=$J48,'Normen en duidingsklassen'!$E$13:$E$20))</f>
        <v>0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 t="shared" si="6"/>
        <v>0</v>
      </c>
      <c r="U48" s="10">
        <f t="shared" si="11"/>
        <v>0</v>
      </c>
      <c r="V48" s="26">
        <f t="shared" si="12"/>
        <v>0</v>
      </c>
    </row>
    <row r="49" spans="2:22" x14ac:dyDescent="0.25">
      <c r="B49" s="8" t="s">
        <v>162</v>
      </c>
      <c r="C49" s="9">
        <v>13.9</v>
      </c>
      <c r="D49" s="9">
        <v>13.91</v>
      </c>
      <c r="E49" s="23" t="s">
        <v>9</v>
      </c>
      <c r="F49" s="8" t="s">
        <v>15</v>
      </c>
      <c r="G49" s="26">
        <v>5.0000000000000004E-6</v>
      </c>
      <c r="H49" s="8" t="s">
        <v>10</v>
      </c>
      <c r="I49" s="26"/>
      <c r="J49" s="10">
        <f t="shared" si="0"/>
        <v>5.0000000000000004E-6</v>
      </c>
      <c r="K49" s="32" t="str">
        <f t="shared" si="1"/>
        <v>+I</v>
      </c>
      <c r="M49" s="31">
        <f t="shared" si="7"/>
        <v>0.99999499999999997</v>
      </c>
      <c r="N49" s="10">
        <f t="shared" si="8"/>
        <v>0.99999499999999997</v>
      </c>
      <c r="O49" s="10">
        <f t="shared" si="9"/>
        <v>5.0000000000000004E-6</v>
      </c>
      <c r="P49" s="10">
        <f t="shared" si="10"/>
        <v>5.0000000000000004E-6</v>
      </c>
      <c r="Q49" s="9">
        <f t="array" ref="Q49">MIN(IF('Normen en duidingsklassen'!$E$13:$E$20&gt;=$J49,'Normen en duidingsklassen'!$E$13:$E$20))</f>
        <v>3.3333333333333335E-5</v>
      </c>
      <c r="R49" s="9">
        <f>IFERROR(MATCH($Q49,'Normen en duidingsklassen'!$E$13:$E$20,0),1)</f>
        <v>3</v>
      </c>
      <c r="S49" s="9" t="str">
        <f>INDEX('Normen en duidingsklassen'!$D$13:$D$20,R49)</f>
        <v>+I</v>
      </c>
      <c r="T49" s="9" t="b">
        <f t="shared" si="6"/>
        <v>0</v>
      </c>
      <c r="U49" s="10">
        <f t="shared" si="11"/>
        <v>5.000000000032756E-6</v>
      </c>
      <c r="V49" s="26">
        <f t="shared" si="12"/>
        <v>5.000000000032756E-6</v>
      </c>
    </row>
    <row r="50" spans="2:22" x14ac:dyDescent="0.25">
      <c r="B50" s="8"/>
      <c r="C50" s="9">
        <v>13.91</v>
      </c>
      <c r="D50" s="9">
        <v>14.2</v>
      </c>
      <c r="E50" s="23" t="s">
        <v>10</v>
      </c>
      <c r="F50" s="8" t="s">
        <v>14</v>
      </c>
      <c r="G50" s="26"/>
      <c r="H50" s="8" t="s">
        <v>10</v>
      </c>
      <c r="I50" s="26"/>
      <c r="J50" s="10">
        <f t="shared" si="0"/>
        <v>0</v>
      </c>
      <c r="K50" s="32" t="str">
        <f t="shared" si="1"/>
        <v>NR</v>
      </c>
      <c r="M50" s="31">
        <f t="shared" si="7"/>
        <v>1</v>
      </c>
      <c r="N50" s="10">
        <f t="shared" si="8"/>
        <v>1</v>
      </c>
      <c r="O50" s="10">
        <f t="shared" si="9"/>
        <v>0</v>
      </c>
      <c r="P50" s="10">
        <f t="shared" si="10"/>
        <v>0</v>
      </c>
      <c r="Q50" s="9">
        <f t="array" ref="Q50">MIN(IF('Normen en duidingsklassen'!$E$13:$E$20&gt;=$J50,'Normen en duidingsklassen'!$E$13:$E$20))</f>
        <v>0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 t="shared" si="6"/>
        <v>0</v>
      </c>
      <c r="U50" s="10">
        <f t="shared" si="11"/>
        <v>0</v>
      </c>
      <c r="V50" s="26">
        <f t="shared" si="12"/>
        <v>0</v>
      </c>
    </row>
    <row r="51" spans="2:22" x14ac:dyDescent="0.25">
      <c r="B51" s="8" t="s">
        <v>163</v>
      </c>
      <c r="C51" s="9">
        <v>14.2</v>
      </c>
      <c r="D51" s="9">
        <v>14.21</v>
      </c>
      <c r="E51" s="23" t="s">
        <v>9</v>
      </c>
      <c r="F51" s="8" t="s">
        <v>15</v>
      </c>
      <c r="G51" s="26">
        <v>9.9999999999999995E-7</v>
      </c>
      <c r="H51" s="8" t="s">
        <v>10</v>
      </c>
      <c r="I51" s="26"/>
      <c r="J51" s="10">
        <f t="shared" si="0"/>
        <v>9.9999999999999995E-7</v>
      </c>
      <c r="K51" s="32" t="str">
        <f t="shared" si="1"/>
        <v>+II</v>
      </c>
      <c r="M51" s="31">
        <f t="shared" si="7"/>
        <v>0.99999899999999997</v>
      </c>
      <c r="N51" s="10">
        <f t="shared" si="8"/>
        <v>0.99999899999999997</v>
      </c>
      <c r="O51" s="10">
        <f t="shared" si="9"/>
        <v>9.9999999999999995E-7</v>
      </c>
      <c r="P51" s="10">
        <f t="shared" si="10"/>
        <v>9.9999999999999995E-7</v>
      </c>
      <c r="Q51" s="9">
        <f t="array" ref="Q51">MIN(IF('Normen en duidingsklassen'!$E$13:$E$20&gt;=$J51,'Normen en duidingsklassen'!$E$13:$E$20))</f>
        <v>3.3333333333333333E-6</v>
      </c>
      <c r="R51" s="9">
        <f>IFERROR(MATCH($Q51,'Normen en duidingsklassen'!$E$13:$E$20,0),1)</f>
        <v>2</v>
      </c>
      <c r="S51" s="9" t="str">
        <f>INDEX('Normen en duidingsklassen'!$D$13:$D$20,R51)</f>
        <v>+II</v>
      </c>
      <c r="T51" s="9" t="b">
        <f t="shared" si="6"/>
        <v>0</v>
      </c>
      <c r="U51" s="10">
        <f t="shared" si="11"/>
        <v>1.0000000000287557E-6</v>
      </c>
      <c r="V51" s="26">
        <f t="shared" si="12"/>
        <v>1.0000000000287557E-6</v>
      </c>
    </row>
    <row r="52" spans="2:22" x14ac:dyDescent="0.25">
      <c r="B52" s="8"/>
      <c r="C52" s="9">
        <v>14.21</v>
      </c>
      <c r="D52" s="9">
        <v>15</v>
      </c>
      <c r="E52" s="23" t="s">
        <v>10</v>
      </c>
      <c r="F52" s="8" t="s">
        <v>14</v>
      </c>
      <c r="G52" s="26"/>
      <c r="H52" s="8" t="s">
        <v>10</v>
      </c>
      <c r="I52" s="26"/>
      <c r="J52" s="10">
        <f t="shared" si="0"/>
        <v>0</v>
      </c>
      <c r="K52" s="32" t="str">
        <f t="shared" si="1"/>
        <v>NR</v>
      </c>
      <c r="M52" s="31">
        <f t="shared" si="7"/>
        <v>1</v>
      </c>
      <c r="N52" s="10">
        <f t="shared" si="8"/>
        <v>1</v>
      </c>
      <c r="O52" s="10">
        <f t="shared" si="9"/>
        <v>0</v>
      </c>
      <c r="P52" s="10">
        <f t="shared" si="10"/>
        <v>0</v>
      </c>
      <c r="Q52" s="9">
        <f t="array" ref="Q52">MIN(IF('Normen en duidingsklassen'!$E$13:$E$20&gt;=$J52,'Normen en duidingsklassen'!$E$13:$E$20))</f>
        <v>0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 t="shared" si="6"/>
        <v>0</v>
      </c>
      <c r="U52" s="10">
        <f t="shared" si="11"/>
        <v>0</v>
      </c>
      <c r="V52" s="26">
        <f t="shared" si="12"/>
        <v>0</v>
      </c>
    </row>
    <row r="53" spans="2:22" x14ac:dyDescent="0.25">
      <c r="B53" s="8" t="s">
        <v>164</v>
      </c>
      <c r="C53" s="9">
        <v>15</v>
      </c>
      <c r="D53" s="9">
        <v>15.01</v>
      </c>
      <c r="E53" s="23" t="s">
        <v>9</v>
      </c>
      <c r="F53" s="8" t="s">
        <v>15</v>
      </c>
      <c r="G53" s="26">
        <v>9.9999999999999995E-7</v>
      </c>
      <c r="H53" s="8" t="s">
        <v>10</v>
      </c>
      <c r="I53" s="26"/>
      <c r="J53" s="10">
        <f t="shared" si="0"/>
        <v>9.9999999999999995E-7</v>
      </c>
      <c r="K53" s="32" t="str">
        <f t="shared" si="1"/>
        <v>+II</v>
      </c>
      <c r="M53" s="31">
        <f t="shared" si="7"/>
        <v>0.99999899999999997</v>
      </c>
      <c r="N53" s="10">
        <f t="shared" si="8"/>
        <v>0.99999899999999997</v>
      </c>
      <c r="O53" s="10">
        <f t="shared" si="9"/>
        <v>9.9999999999999995E-7</v>
      </c>
      <c r="P53" s="10">
        <f t="shared" si="10"/>
        <v>9.9999999999999995E-7</v>
      </c>
      <c r="Q53" s="9">
        <f t="array" ref="Q53">MIN(IF('Normen en duidingsklassen'!$E$13:$E$20&gt;=$J53,'Normen en duidingsklassen'!$E$13:$E$20))</f>
        <v>3.3333333333333333E-6</v>
      </c>
      <c r="R53" s="9">
        <f>IFERROR(MATCH($Q53,'Normen en duidingsklassen'!$E$13:$E$20,0),1)</f>
        <v>2</v>
      </c>
      <c r="S53" s="9" t="str">
        <f>INDEX('Normen en duidingsklassen'!$D$13:$D$20,R53)</f>
        <v>+II</v>
      </c>
      <c r="T53" s="9" t="b">
        <f t="shared" si="6"/>
        <v>0</v>
      </c>
      <c r="U53" s="10">
        <f t="shared" si="11"/>
        <v>1.0000000000287557E-6</v>
      </c>
      <c r="V53" s="26">
        <f t="shared" si="12"/>
        <v>1.0000000000287557E-6</v>
      </c>
    </row>
    <row r="54" spans="2:22" x14ac:dyDescent="0.25">
      <c r="B54" s="8"/>
      <c r="C54" s="9">
        <v>15.01</v>
      </c>
      <c r="D54" s="9">
        <v>15.7</v>
      </c>
      <c r="E54" s="23" t="s">
        <v>10</v>
      </c>
      <c r="F54" s="8" t="s">
        <v>14</v>
      </c>
      <c r="G54" s="26"/>
      <c r="H54" s="8" t="s">
        <v>10</v>
      </c>
      <c r="I54" s="26"/>
      <c r="J54" s="10">
        <f t="shared" si="0"/>
        <v>0</v>
      </c>
      <c r="K54" s="32" t="str">
        <f t="shared" si="1"/>
        <v>NR</v>
      </c>
      <c r="M54" s="31">
        <f t="shared" si="7"/>
        <v>1</v>
      </c>
      <c r="N54" s="10">
        <f t="shared" si="8"/>
        <v>1</v>
      </c>
      <c r="O54" s="10">
        <f t="shared" si="9"/>
        <v>0</v>
      </c>
      <c r="P54" s="10">
        <f t="shared" si="10"/>
        <v>0</v>
      </c>
      <c r="Q54" s="9">
        <f t="array" ref="Q54">MIN(IF('Normen en duidingsklassen'!$E$13:$E$20&gt;=$J54,'Normen en duidingsklassen'!$E$13:$E$20))</f>
        <v>0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9" t="b">
        <f t="shared" si="6"/>
        <v>0</v>
      </c>
      <c r="U54" s="10">
        <f t="shared" si="11"/>
        <v>0</v>
      </c>
      <c r="V54" s="26">
        <f t="shared" si="12"/>
        <v>0</v>
      </c>
    </row>
    <row r="55" spans="2:22" x14ac:dyDescent="0.25">
      <c r="B55" s="8" t="s">
        <v>165</v>
      </c>
      <c r="C55" s="9">
        <v>15.7</v>
      </c>
      <c r="D55" s="9">
        <v>15.71</v>
      </c>
      <c r="E55" s="23" t="s">
        <v>9</v>
      </c>
      <c r="F55" s="8" t="s">
        <v>15</v>
      </c>
      <c r="G55" s="26">
        <v>9.9999999999999995E-7</v>
      </c>
      <c r="H55" s="8" t="s">
        <v>10</v>
      </c>
      <c r="I55" s="26"/>
      <c r="J55" s="10">
        <f t="shared" si="0"/>
        <v>9.9999999999999995E-7</v>
      </c>
      <c r="K55" s="32" t="str">
        <f t="shared" si="1"/>
        <v>+II</v>
      </c>
      <c r="M55" s="31">
        <f t="shared" si="7"/>
        <v>0.99999899999999997</v>
      </c>
      <c r="N55" s="10">
        <f t="shared" si="8"/>
        <v>0.99999899999999997</v>
      </c>
      <c r="O55" s="10">
        <f t="shared" si="9"/>
        <v>9.9999999999999995E-7</v>
      </c>
      <c r="P55" s="10">
        <f t="shared" si="10"/>
        <v>9.9999999999999995E-7</v>
      </c>
      <c r="Q55" s="9">
        <f t="array" ref="Q55">MIN(IF('Normen en duidingsklassen'!$E$13:$E$20&gt;=$J55,'Normen en duidingsklassen'!$E$13:$E$20))</f>
        <v>3.3333333333333333E-6</v>
      </c>
      <c r="R55" s="9">
        <f>IFERROR(MATCH($Q55,'Normen en duidingsklassen'!$E$13:$E$20,0),1)</f>
        <v>2</v>
      </c>
      <c r="S55" s="9" t="str">
        <f>INDEX('Normen en duidingsklassen'!$D$13:$D$20,R55)</f>
        <v>+II</v>
      </c>
      <c r="T55" s="9" t="b">
        <f t="shared" si="6"/>
        <v>0</v>
      </c>
      <c r="U55" s="10">
        <f t="shared" si="11"/>
        <v>1.0000000000287557E-6</v>
      </c>
      <c r="V55" s="26">
        <f t="shared" si="12"/>
        <v>1.0000000000287557E-6</v>
      </c>
    </row>
    <row r="56" spans="2:22" x14ac:dyDescent="0.25">
      <c r="B56" s="8"/>
      <c r="C56" s="9">
        <v>15.71</v>
      </c>
      <c r="D56" s="9">
        <v>16.100000000000001</v>
      </c>
      <c r="E56" s="23" t="s">
        <v>10</v>
      </c>
      <c r="F56" s="8" t="s">
        <v>14</v>
      </c>
      <c r="G56" s="26"/>
      <c r="H56" s="8" t="s">
        <v>10</v>
      </c>
      <c r="I56" s="26"/>
      <c r="J56" s="10">
        <f t="shared" si="0"/>
        <v>0</v>
      </c>
      <c r="K56" s="32" t="str">
        <f t="shared" si="1"/>
        <v>NR</v>
      </c>
      <c r="M56" s="31">
        <f t="shared" si="7"/>
        <v>1</v>
      </c>
      <c r="N56" s="10">
        <f t="shared" si="8"/>
        <v>1</v>
      </c>
      <c r="O56" s="10">
        <f t="shared" si="9"/>
        <v>0</v>
      </c>
      <c r="P56" s="10">
        <f t="shared" si="10"/>
        <v>0</v>
      </c>
      <c r="Q56" s="9">
        <f t="array" ref="Q56">MIN(IF('Normen en duidingsklassen'!$E$13:$E$20&gt;=$J56,'Normen en duidingsklassen'!$E$13:$E$20))</f>
        <v>0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9" t="b">
        <f t="shared" si="6"/>
        <v>0</v>
      </c>
      <c r="U56" s="10">
        <f t="shared" si="11"/>
        <v>0</v>
      </c>
      <c r="V56" s="26">
        <f t="shared" si="12"/>
        <v>0</v>
      </c>
    </row>
    <row r="57" spans="2:22" x14ac:dyDescent="0.25">
      <c r="B57" s="8" t="s">
        <v>166</v>
      </c>
      <c r="C57" s="9">
        <v>16.100000000000001</v>
      </c>
      <c r="D57" s="9">
        <v>16.11</v>
      </c>
      <c r="E57" s="23" t="s">
        <v>9</v>
      </c>
      <c r="F57" s="8" t="s">
        <v>15</v>
      </c>
      <c r="G57" s="26">
        <v>2.3800000000000001E-6</v>
      </c>
      <c r="H57" s="8" t="s">
        <v>10</v>
      </c>
      <c r="I57" s="26"/>
      <c r="J57" s="10">
        <f t="shared" si="0"/>
        <v>2.3800000000000001E-6</v>
      </c>
      <c r="K57" s="32" t="str">
        <f t="shared" si="1"/>
        <v>+II</v>
      </c>
      <c r="M57" s="31">
        <f t="shared" si="7"/>
        <v>0.99999762000000003</v>
      </c>
      <c r="N57" s="10">
        <f t="shared" si="8"/>
        <v>0.99999762000000003</v>
      </c>
      <c r="O57" s="10">
        <f t="shared" si="9"/>
        <v>2.3800000000000001E-6</v>
      </c>
      <c r="P57" s="10">
        <f t="shared" si="10"/>
        <v>2.3800000000000001E-6</v>
      </c>
      <c r="Q57" s="9">
        <f t="array" ref="Q57">MIN(IF('Normen en duidingsklassen'!$E$13:$E$20&gt;=$J57,'Normen en duidingsklassen'!$E$13:$E$20))</f>
        <v>3.3333333333333333E-6</v>
      </c>
      <c r="R57" s="9">
        <f>IFERROR(MATCH($Q57,'Normen en duidingsklassen'!$E$13:$E$20,0),1)</f>
        <v>2</v>
      </c>
      <c r="S57" s="9" t="str">
        <f>INDEX('Normen en duidingsklassen'!$D$13:$D$20,R57)</f>
        <v>+II</v>
      </c>
      <c r="T57" s="9" t="b">
        <f t="shared" si="6"/>
        <v>0</v>
      </c>
      <c r="U57" s="10">
        <f t="shared" si="11"/>
        <v>2.3799999999685184E-6</v>
      </c>
      <c r="V57" s="26">
        <f t="shared" si="12"/>
        <v>2.3799999999685184E-6</v>
      </c>
    </row>
    <row r="58" spans="2:22" x14ac:dyDescent="0.25">
      <c r="B58" s="8"/>
      <c r="C58" s="9">
        <v>16.11</v>
      </c>
      <c r="D58" s="9">
        <v>16.7</v>
      </c>
      <c r="E58" s="23" t="s">
        <v>10</v>
      </c>
      <c r="F58" s="8" t="s">
        <v>14</v>
      </c>
      <c r="G58" s="26"/>
      <c r="H58" s="8" t="s">
        <v>10</v>
      </c>
      <c r="I58" s="26"/>
      <c r="J58" s="10">
        <f t="shared" si="0"/>
        <v>0</v>
      </c>
      <c r="K58" s="32" t="str">
        <f t="shared" si="1"/>
        <v>NR</v>
      </c>
      <c r="M58" s="31">
        <f t="shared" si="7"/>
        <v>1</v>
      </c>
      <c r="N58" s="10">
        <f t="shared" si="8"/>
        <v>1</v>
      </c>
      <c r="O58" s="10">
        <f t="shared" si="9"/>
        <v>0</v>
      </c>
      <c r="P58" s="10">
        <f t="shared" si="10"/>
        <v>0</v>
      </c>
      <c r="Q58" s="9">
        <f t="array" ref="Q58">MIN(IF('Normen en duidingsklassen'!$E$13:$E$20&gt;=$J58,'Normen en duidingsklassen'!$E$13:$E$20))</f>
        <v>0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9" t="b">
        <f t="shared" si="6"/>
        <v>0</v>
      </c>
      <c r="U58" s="10">
        <f t="shared" si="11"/>
        <v>0</v>
      </c>
      <c r="V58" s="26">
        <f t="shared" si="12"/>
        <v>0</v>
      </c>
    </row>
    <row r="59" spans="2:22" x14ac:dyDescent="0.25">
      <c r="B59" s="8" t="s">
        <v>167</v>
      </c>
      <c r="C59" s="9">
        <v>16.7</v>
      </c>
      <c r="D59" s="9">
        <v>16.71</v>
      </c>
      <c r="E59" s="23" t="s">
        <v>9</v>
      </c>
      <c r="F59" s="8" t="s">
        <v>15</v>
      </c>
      <c r="G59" s="26">
        <v>9.9999999999999995E-7</v>
      </c>
      <c r="H59" s="8" t="s">
        <v>10</v>
      </c>
      <c r="I59" s="26"/>
      <c r="J59" s="10">
        <f t="shared" si="0"/>
        <v>9.9999999999999995E-7</v>
      </c>
      <c r="K59" s="32" t="str">
        <f t="shared" si="1"/>
        <v>+II</v>
      </c>
      <c r="M59" s="31">
        <f t="shared" si="7"/>
        <v>0.99999899999999997</v>
      </c>
      <c r="N59" s="10">
        <f t="shared" si="8"/>
        <v>0.99999899999999997</v>
      </c>
      <c r="O59" s="10">
        <f t="shared" si="9"/>
        <v>9.9999999999999995E-7</v>
      </c>
      <c r="P59" s="10">
        <f t="shared" si="10"/>
        <v>9.9999999999999995E-7</v>
      </c>
      <c r="Q59" s="9">
        <f t="array" ref="Q59">MIN(IF('Normen en duidingsklassen'!$E$13:$E$20&gt;=$J59,'Normen en duidingsklassen'!$E$13:$E$20))</f>
        <v>3.3333333333333333E-6</v>
      </c>
      <c r="R59" s="9">
        <f>IFERROR(MATCH($Q59,'Normen en duidingsklassen'!$E$13:$E$20,0),1)</f>
        <v>2</v>
      </c>
      <c r="S59" s="9" t="str">
        <f>INDEX('Normen en duidingsklassen'!$D$13:$D$20,R59)</f>
        <v>+II</v>
      </c>
      <c r="T59" s="9" t="b">
        <f t="shared" si="6"/>
        <v>0</v>
      </c>
      <c r="U59" s="10">
        <f t="shared" si="11"/>
        <v>1.0000000000287557E-6</v>
      </c>
      <c r="V59" s="26">
        <f t="shared" si="12"/>
        <v>1.0000000000287557E-6</v>
      </c>
    </row>
    <row r="60" spans="2:22" x14ac:dyDescent="0.25">
      <c r="B60" s="8"/>
      <c r="C60" s="9">
        <v>16.71</v>
      </c>
      <c r="D60" s="9">
        <v>17.3</v>
      </c>
      <c r="E60" s="23" t="s">
        <v>10</v>
      </c>
      <c r="F60" s="8" t="s">
        <v>14</v>
      </c>
      <c r="G60" s="26"/>
      <c r="H60" s="8" t="s">
        <v>10</v>
      </c>
      <c r="I60" s="26"/>
      <c r="J60" s="10">
        <f t="shared" si="0"/>
        <v>0</v>
      </c>
      <c r="K60" s="32" t="str">
        <f t="shared" si="1"/>
        <v>NR</v>
      </c>
      <c r="M60" s="31">
        <f t="shared" si="7"/>
        <v>1</v>
      </c>
      <c r="N60" s="10">
        <f t="shared" si="8"/>
        <v>1</v>
      </c>
      <c r="O60" s="10">
        <f t="shared" si="9"/>
        <v>0</v>
      </c>
      <c r="P60" s="10">
        <f t="shared" si="10"/>
        <v>0</v>
      </c>
      <c r="Q60" s="9">
        <f t="array" ref="Q60">MIN(IF('Normen en duidingsklassen'!$E$13:$E$20&gt;=$J60,'Normen en duidingsklassen'!$E$13:$E$20))</f>
        <v>0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9" t="b">
        <f t="shared" si="6"/>
        <v>0</v>
      </c>
      <c r="U60" s="10">
        <f t="shared" si="11"/>
        <v>0</v>
      </c>
      <c r="V60" s="26">
        <f t="shared" si="12"/>
        <v>0</v>
      </c>
    </row>
    <row r="61" spans="2:22" x14ac:dyDescent="0.25">
      <c r="B61" s="8" t="s">
        <v>168</v>
      </c>
      <c r="C61" s="9">
        <v>17.3</v>
      </c>
      <c r="D61" s="9">
        <v>17.309999999999999</v>
      </c>
      <c r="E61" s="23" t="s">
        <v>9</v>
      </c>
      <c r="F61" s="8" t="s">
        <v>15</v>
      </c>
      <c r="G61" s="26">
        <v>9.9999999999999995E-7</v>
      </c>
      <c r="H61" s="8" t="s">
        <v>10</v>
      </c>
      <c r="I61" s="26"/>
      <c r="J61" s="10">
        <f t="shared" si="0"/>
        <v>9.9999999999999995E-7</v>
      </c>
      <c r="K61" s="32" t="str">
        <f t="shared" si="1"/>
        <v>+II</v>
      </c>
      <c r="M61" s="31">
        <f t="shared" si="7"/>
        <v>0.99999899999999997</v>
      </c>
      <c r="N61" s="10">
        <f t="shared" si="8"/>
        <v>0.99999899999999997</v>
      </c>
      <c r="O61" s="10">
        <f t="shared" si="9"/>
        <v>9.9999999999999995E-7</v>
      </c>
      <c r="P61" s="10">
        <f t="shared" si="10"/>
        <v>9.9999999999999995E-7</v>
      </c>
      <c r="Q61" s="9">
        <f t="array" ref="Q61">MIN(IF('Normen en duidingsklassen'!$E$13:$E$20&gt;=$J61,'Normen en duidingsklassen'!$E$13:$E$20))</f>
        <v>3.3333333333333333E-6</v>
      </c>
      <c r="R61" s="9">
        <f>IFERROR(MATCH($Q61,'Normen en duidingsklassen'!$E$13:$E$20,0),1)</f>
        <v>2</v>
      </c>
      <c r="S61" s="9" t="str">
        <f>INDEX('Normen en duidingsklassen'!$D$13:$D$20,R61)</f>
        <v>+II</v>
      </c>
      <c r="T61" s="9" t="b">
        <f t="shared" si="6"/>
        <v>0</v>
      </c>
      <c r="U61" s="10">
        <f t="shared" si="11"/>
        <v>1.0000000000287557E-6</v>
      </c>
      <c r="V61" s="26">
        <f t="shared" si="12"/>
        <v>1.0000000000287557E-6</v>
      </c>
    </row>
    <row r="62" spans="2:22" x14ac:dyDescent="0.25">
      <c r="B62" s="8"/>
      <c r="C62" s="9">
        <v>17.309999999999999</v>
      </c>
      <c r="D62" s="9">
        <v>17.5</v>
      </c>
      <c r="E62" s="23" t="s">
        <v>10</v>
      </c>
      <c r="F62" s="8" t="s">
        <v>14</v>
      </c>
      <c r="G62" s="26"/>
      <c r="H62" s="8" t="s">
        <v>10</v>
      </c>
      <c r="I62" s="26"/>
      <c r="J62" s="10">
        <f t="shared" si="0"/>
        <v>0</v>
      </c>
      <c r="K62" s="32" t="str">
        <f t="shared" si="1"/>
        <v>NR</v>
      </c>
      <c r="M62" s="31">
        <f t="shared" si="7"/>
        <v>1</v>
      </c>
      <c r="N62" s="10">
        <f t="shared" si="8"/>
        <v>1</v>
      </c>
      <c r="O62" s="10">
        <f t="shared" si="9"/>
        <v>0</v>
      </c>
      <c r="P62" s="10">
        <f t="shared" si="10"/>
        <v>0</v>
      </c>
      <c r="Q62" s="9">
        <f t="array" ref="Q62">MIN(IF('Normen en duidingsklassen'!$E$13:$E$20&gt;=$J62,'Normen en duidingsklassen'!$E$13:$E$20))</f>
        <v>0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9" t="b">
        <f t="shared" si="6"/>
        <v>0</v>
      </c>
      <c r="U62" s="10">
        <f t="shared" si="11"/>
        <v>0</v>
      </c>
      <c r="V62" s="26">
        <f t="shared" si="12"/>
        <v>0</v>
      </c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9"/>
      <c r="U76" s="9"/>
      <c r="V76" s="12"/>
    </row>
    <row r="77" spans="2:22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9"/>
      <c r="U77" s="9"/>
      <c r="V77" s="12"/>
    </row>
    <row r="78" spans="2:22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9"/>
      <c r="U78" s="9"/>
      <c r="V78" s="12"/>
    </row>
    <row r="79" spans="2:22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9"/>
      <c r="U79" s="9"/>
      <c r="V79" s="12"/>
    </row>
    <row r="80" spans="2:22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9"/>
      <c r="U80" s="9"/>
      <c r="V80" s="12"/>
    </row>
    <row r="81" spans="2:22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9"/>
      <c r="U81" s="9"/>
      <c r="V81" s="12"/>
    </row>
    <row r="82" spans="2:22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9"/>
      <c r="U82" s="9"/>
      <c r="V82" s="12"/>
    </row>
    <row r="83" spans="2:22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9"/>
      <c r="U83" s="9"/>
      <c r="V83" s="12"/>
    </row>
    <row r="84" spans="2:22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9"/>
      <c r="U84" s="9"/>
      <c r="V84" s="12"/>
    </row>
    <row r="85" spans="2:22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9"/>
      <c r="U85" s="9"/>
      <c r="V85" s="12"/>
    </row>
    <row r="86" spans="2:22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9"/>
      <c r="U86" s="9"/>
      <c r="V86" s="12"/>
    </row>
    <row r="87" spans="2:22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9"/>
      <c r="U87" s="9"/>
      <c r="V87" s="12"/>
    </row>
    <row r="88" spans="2:22" x14ac:dyDescent="0.25">
      <c r="B88" s="8"/>
      <c r="C88" s="9"/>
      <c r="D88" s="9"/>
      <c r="E88" s="23"/>
      <c r="F88" s="8"/>
      <c r="G88" s="26"/>
      <c r="H88" s="8"/>
      <c r="I88" s="26"/>
      <c r="J88" s="10"/>
      <c r="K88" s="32"/>
      <c r="M88" s="31"/>
      <c r="N88" s="10"/>
      <c r="O88" s="10"/>
      <c r="P88" s="10"/>
      <c r="Q88" s="9"/>
      <c r="R88" s="9"/>
      <c r="S88" s="9"/>
      <c r="T88" s="9"/>
      <c r="U88" s="9"/>
      <c r="V88" s="12"/>
    </row>
    <row r="89" spans="2:22" x14ac:dyDescent="0.25">
      <c r="B89" s="8"/>
      <c r="C89" s="9"/>
      <c r="D89" s="9"/>
      <c r="E89" s="23"/>
      <c r="F89" s="8"/>
      <c r="G89" s="26"/>
      <c r="H89" s="8"/>
      <c r="I89" s="26"/>
      <c r="J89" s="10"/>
      <c r="K89" s="32"/>
      <c r="M89" s="31"/>
      <c r="N89" s="10"/>
      <c r="O89" s="10"/>
      <c r="P89" s="10"/>
      <c r="Q89" s="9"/>
      <c r="R89" s="9"/>
      <c r="S89" s="9"/>
      <c r="T89" s="9"/>
      <c r="U89" s="9"/>
      <c r="V89" s="12"/>
    </row>
    <row r="90" spans="2:22" x14ac:dyDescent="0.25">
      <c r="B90" s="8"/>
      <c r="C90" s="9"/>
      <c r="D90" s="9"/>
      <c r="E90" s="23"/>
      <c r="F90" s="8"/>
      <c r="G90" s="26"/>
      <c r="H90" s="8"/>
      <c r="I90" s="26"/>
      <c r="J90" s="10"/>
      <c r="K90" s="32"/>
      <c r="M90" s="31"/>
      <c r="N90" s="10"/>
      <c r="O90" s="10"/>
      <c r="P90" s="10"/>
      <c r="Q90" s="9"/>
      <c r="R90" s="9"/>
      <c r="S90" s="9"/>
      <c r="T90" s="9"/>
      <c r="U90" s="9"/>
      <c r="V90" s="12"/>
    </row>
    <row r="91" spans="2:22" x14ac:dyDescent="0.25">
      <c r="B91" s="8"/>
      <c r="C91" s="9"/>
      <c r="D91" s="9"/>
      <c r="E91" s="23"/>
      <c r="F91" s="8"/>
      <c r="G91" s="26"/>
      <c r="H91" s="8"/>
      <c r="I91" s="26"/>
      <c r="J91" s="10"/>
      <c r="K91" s="32"/>
      <c r="M91" s="31"/>
      <c r="N91" s="10"/>
      <c r="O91" s="10"/>
      <c r="P91" s="10"/>
      <c r="Q91" s="9"/>
      <c r="R91" s="9"/>
      <c r="S91" s="9"/>
      <c r="T91" s="9"/>
      <c r="U91" s="9"/>
      <c r="V91" s="12"/>
    </row>
    <row r="92" spans="2:22" x14ac:dyDescent="0.25">
      <c r="B92" s="8"/>
      <c r="C92" s="9"/>
      <c r="D92" s="9"/>
      <c r="E92" s="23"/>
      <c r="F92" s="8"/>
      <c r="G92" s="26"/>
      <c r="H92" s="8"/>
      <c r="I92" s="26"/>
      <c r="J92" s="10"/>
      <c r="K92" s="32"/>
      <c r="M92" s="31"/>
      <c r="N92" s="10"/>
      <c r="O92" s="10"/>
      <c r="P92" s="10"/>
      <c r="Q92" s="9"/>
      <c r="R92" s="9"/>
      <c r="S92" s="9"/>
      <c r="T92" s="9"/>
      <c r="U92" s="9"/>
      <c r="V92" s="12"/>
    </row>
    <row r="93" spans="2:22" x14ac:dyDescent="0.25">
      <c r="B93" s="8"/>
      <c r="C93" s="9"/>
      <c r="D93" s="9"/>
      <c r="E93" s="23"/>
      <c r="F93" s="8"/>
      <c r="G93" s="26"/>
      <c r="H93" s="8"/>
      <c r="I93" s="26"/>
      <c r="J93" s="10"/>
      <c r="K93" s="32"/>
      <c r="M93" s="31"/>
      <c r="N93" s="10"/>
      <c r="O93" s="10"/>
      <c r="P93" s="10"/>
      <c r="Q93" s="9"/>
      <c r="R93" s="9"/>
      <c r="S93" s="9"/>
      <c r="T93" s="9"/>
      <c r="U93" s="9"/>
      <c r="V93" s="12"/>
    </row>
    <row r="94" spans="2:22" x14ac:dyDescent="0.25">
      <c r="B94" s="8"/>
      <c r="C94" s="9"/>
      <c r="D94" s="9"/>
      <c r="E94" s="23"/>
      <c r="F94" s="8"/>
      <c r="G94" s="26"/>
      <c r="H94" s="8"/>
      <c r="I94" s="26"/>
      <c r="J94" s="10"/>
      <c r="K94" s="32"/>
      <c r="M94" s="31"/>
      <c r="N94" s="10"/>
      <c r="O94" s="10"/>
      <c r="P94" s="10"/>
      <c r="Q94" s="9"/>
      <c r="R94" s="9"/>
      <c r="S94" s="9"/>
      <c r="T94" s="9"/>
      <c r="U94" s="9"/>
      <c r="V94" s="12"/>
    </row>
    <row r="95" spans="2:22" x14ac:dyDescent="0.25">
      <c r="B95" s="8"/>
      <c r="C95" s="9"/>
      <c r="D95" s="9"/>
      <c r="E95" s="23"/>
      <c r="F95" s="8"/>
      <c r="G95" s="26"/>
      <c r="H95" s="8"/>
      <c r="I95" s="26"/>
      <c r="J95" s="10"/>
      <c r="K95" s="32"/>
      <c r="M95" s="31"/>
      <c r="N95" s="10"/>
      <c r="O95" s="10"/>
      <c r="P95" s="10"/>
      <c r="Q95" s="9"/>
      <c r="R95" s="9"/>
      <c r="S95" s="9"/>
      <c r="T95" s="9"/>
      <c r="U95" s="9"/>
      <c r="V95" s="12"/>
    </row>
    <row r="96" spans="2:22" x14ac:dyDescent="0.25">
      <c r="B96" s="8"/>
      <c r="C96" s="9"/>
      <c r="D96" s="9"/>
      <c r="E96" s="23"/>
      <c r="F96" s="8"/>
      <c r="G96" s="26"/>
      <c r="H96" s="8"/>
      <c r="I96" s="26"/>
      <c r="J96" s="10"/>
      <c r="K96" s="32"/>
      <c r="M96" s="31"/>
      <c r="N96" s="10"/>
      <c r="O96" s="10"/>
      <c r="P96" s="10"/>
      <c r="Q96" s="9"/>
      <c r="R96" s="9"/>
      <c r="S96" s="9"/>
      <c r="T96" s="9"/>
      <c r="U96" s="9"/>
      <c r="V96" s="12"/>
    </row>
    <row r="97" spans="2:22" x14ac:dyDescent="0.25">
      <c r="B97" s="8"/>
      <c r="C97" s="9"/>
      <c r="D97" s="9"/>
      <c r="E97" s="23"/>
      <c r="F97" s="8"/>
      <c r="G97" s="26"/>
      <c r="H97" s="8"/>
      <c r="I97" s="26"/>
      <c r="J97" s="10"/>
      <c r="K97" s="32"/>
      <c r="M97" s="31"/>
      <c r="N97" s="10"/>
      <c r="O97" s="10"/>
      <c r="P97" s="10"/>
      <c r="Q97" s="9"/>
      <c r="R97" s="9"/>
      <c r="S97" s="9"/>
      <c r="T97" s="9"/>
      <c r="U97" s="9"/>
      <c r="V97" s="12"/>
    </row>
    <row r="98" spans="2:22" x14ac:dyDescent="0.25">
      <c r="B98" s="8"/>
      <c r="C98" s="9"/>
      <c r="D98" s="9"/>
      <c r="E98" s="23"/>
      <c r="F98" s="8"/>
      <c r="G98" s="26"/>
      <c r="H98" s="8"/>
      <c r="I98" s="26"/>
      <c r="J98" s="10"/>
      <c r="K98" s="32"/>
      <c r="M98" s="31"/>
      <c r="N98" s="10"/>
      <c r="O98" s="10"/>
      <c r="P98" s="10"/>
      <c r="Q98" s="9"/>
      <c r="R98" s="9"/>
      <c r="S98" s="9"/>
      <c r="T98" s="9"/>
      <c r="U98" s="9"/>
      <c r="V98" s="12"/>
    </row>
    <row r="99" spans="2:22" x14ac:dyDescent="0.25">
      <c r="B99" s="8"/>
      <c r="C99" s="9"/>
      <c r="D99" s="9"/>
      <c r="E99" s="23"/>
      <c r="F99" s="8"/>
      <c r="G99" s="26"/>
      <c r="H99" s="8"/>
      <c r="I99" s="26"/>
      <c r="J99" s="10"/>
      <c r="K99" s="32"/>
      <c r="M99" s="31"/>
      <c r="N99" s="10"/>
      <c r="O99" s="10"/>
      <c r="P99" s="10"/>
      <c r="Q99" s="9"/>
      <c r="R99" s="9"/>
      <c r="S99" s="9"/>
      <c r="T99" s="9"/>
      <c r="U99" s="9"/>
      <c r="V99" s="12"/>
    </row>
    <row r="100" spans="2:22" x14ac:dyDescent="0.25">
      <c r="B100" s="8"/>
      <c r="C100" s="9"/>
      <c r="D100" s="9"/>
      <c r="E100" s="23"/>
      <c r="F100" s="8"/>
      <c r="G100" s="26"/>
      <c r="H100" s="8"/>
      <c r="I100" s="26"/>
      <c r="J100" s="10"/>
      <c r="K100" s="32"/>
      <c r="M100" s="31"/>
      <c r="N100" s="10"/>
      <c r="O100" s="10"/>
      <c r="P100" s="10"/>
      <c r="Q100" s="9"/>
      <c r="R100" s="9"/>
      <c r="S100" s="9"/>
      <c r="T100" s="9"/>
      <c r="U100" s="9"/>
      <c r="V100" s="12"/>
    </row>
    <row r="101" spans="2:22" x14ac:dyDescent="0.25">
      <c r="B101" s="8"/>
      <c r="C101" s="9"/>
      <c r="D101" s="9"/>
      <c r="E101" s="23"/>
      <c r="F101" s="8"/>
      <c r="G101" s="26"/>
      <c r="H101" s="8"/>
      <c r="I101" s="26"/>
      <c r="J101" s="10"/>
      <c r="K101" s="32"/>
      <c r="M101" s="31"/>
      <c r="N101" s="10"/>
      <c r="O101" s="10"/>
      <c r="P101" s="10"/>
      <c r="Q101" s="9"/>
      <c r="R101" s="9"/>
      <c r="S101" s="9"/>
      <c r="T101" s="9"/>
      <c r="U101" s="9"/>
      <c r="V101" s="12"/>
    </row>
    <row r="102" spans="2:22" x14ac:dyDescent="0.25">
      <c r="B102" s="8"/>
      <c r="C102" s="9"/>
      <c r="D102" s="9"/>
      <c r="E102" s="23"/>
      <c r="F102" s="8"/>
      <c r="G102" s="26"/>
      <c r="H102" s="8"/>
      <c r="I102" s="26"/>
      <c r="J102" s="10"/>
      <c r="K102" s="32"/>
      <c r="M102" s="31"/>
      <c r="N102" s="10"/>
      <c r="O102" s="10"/>
      <c r="P102" s="10"/>
      <c r="Q102" s="9"/>
      <c r="R102" s="9"/>
      <c r="S102" s="9"/>
      <c r="T102" s="9"/>
      <c r="U102" s="9"/>
      <c r="V102" s="12"/>
    </row>
    <row r="103" spans="2:22" x14ac:dyDescent="0.25">
      <c r="B103" s="8"/>
      <c r="C103" s="9"/>
      <c r="D103" s="9"/>
      <c r="E103" s="23"/>
      <c r="F103" s="8"/>
      <c r="G103" s="26"/>
      <c r="H103" s="8"/>
      <c r="I103" s="26"/>
      <c r="J103" s="10"/>
      <c r="K103" s="32"/>
      <c r="M103" s="31"/>
      <c r="N103" s="10"/>
      <c r="O103" s="10"/>
      <c r="P103" s="10"/>
      <c r="Q103" s="9"/>
      <c r="R103" s="9"/>
      <c r="S103" s="9"/>
      <c r="T103" s="9"/>
      <c r="U103" s="9"/>
      <c r="V103" s="12"/>
    </row>
    <row r="104" spans="2:22" x14ac:dyDescent="0.25">
      <c r="B104" s="8"/>
      <c r="C104" s="9"/>
      <c r="D104" s="9"/>
      <c r="E104" s="23"/>
      <c r="F104" s="8"/>
      <c r="G104" s="26"/>
      <c r="H104" s="8"/>
      <c r="I104" s="26"/>
      <c r="J104" s="10"/>
      <c r="K104" s="32"/>
      <c r="M104" s="31"/>
      <c r="N104" s="10"/>
      <c r="O104" s="10"/>
      <c r="P104" s="10"/>
      <c r="Q104" s="9"/>
      <c r="R104" s="9"/>
      <c r="S104" s="9"/>
      <c r="T104" s="9"/>
      <c r="U104" s="9"/>
      <c r="V104" s="12"/>
    </row>
    <row r="105" spans="2:22" x14ac:dyDescent="0.25">
      <c r="B105" s="8"/>
      <c r="C105" s="9"/>
      <c r="D105" s="9"/>
      <c r="E105" s="23"/>
      <c r="F105" s="8"/>
      <c r="G105" s="26"/>
      <c r="H105" s="8"/>
      <c r="I105" s="26"/>
      <c r="J105" s="10"/>
      <c r="K105" s="32"/>
      <c r="M105" s="31"/>
      <c r="N105" s="10"/>
      <c r="O105" s="10"/>
      <c r="P105" s="10"/>
      <c r="Q105" s="9"/>
      <c r="R105" s="9"/>
      <c r="S105" s="9"/>
      <c r="T105" s="9"/>
      <c r="U105" s="9"/>
      <c r="V105" s="12"/>
    </row>
    <row r="106" spans="2:22" x14ac:dyDescent="0.25">
      <c r="B106" s="8"/>
      <c r="C106" s="9"/>
      <c r="D106" s="9"/>
      <c r="E106" s="23"/>
      <c r="F106" s="8"/>
      <c r="G106" s="26"/>
      <c r="H106" s="8"/>
      <c r="I106" s="26"/>
      <c r="J106" s="10"/>
      <c r="K106" s="32"/>
      <c r="M106" s="31"/>
      <c r="N106" s="10"/>
      <c r="O106" s="10"/>
      <c r="P106" s="10"/>
      <c r="Q106" s="9"/>
      <c r="R106" s="9"/>
      <c r="S106" s="9"/>
      <c r="T106" s="9"/>
      <c r="U106" s="9"/>
      <c r="V106" s="12"/>
    </row>
    <row r="107" spans="2:22" x14ac:dyDescent="0.25">
      <c r="B107" s="8"/>
      <c r="C107" s="9"/>
      <c r="D107" s="9"/>
      <c r="E107" s="23"/>
      <c r="F107" s="8"/>
      <c r="G107" s="26"/>
      <c r="H107" s="8"/>
      <c r="I107" s="26"/>
      <c r="J107" s="10"/>
      <c r="K107" s="32"/>
      <c r="M107" s="31"/>
      <c r="N107" s="10"/>
      <c r="O107" s="10"/>
      <c r="P107" s="10"/>
      <c r="Q107" s="9"/>
      <c r="R107" s="9"/>
      <c r="S107" s="9"/>
      <c r="T107" s="9"/>
      <c r="U107" s="9"/>
      <c r="V107" s="12"/>
    </row>
    <row r="108" spans="2:22" x14ac:dyDescent="0.25">
      <c r="B108" s="8"/>
      <c r="C108" s="9"/>
      <c r="D108" s="9"/>
      <c r="E108" s="23"/>
      <c r="F108" s="8"/>
      <c r="G108" s="26"/>
      <c r="H108" s="8"/>
      <c r="I108" s="26"/>
      <c r="J108" s="10"/>
      <c r="K108" s="32"/>
      <c r="M108" s="31"/>
      <c r="N108" s="10"/>
      <c r="O108" s="10"/>
      <c r="P108" s="10"/>
      <c r="Q108" s="9"/>
      <c r="R108" s="9"/>
      <c r="S108" s="9"/>
      <c r="T108" s="9"/>
      <c r="U108" s="9"/>
      <c r="V108" s="12"/>
    </row>
    <row r="109" spans="2:22" x14ac:dyDescent="0.25">
      <c r="B109" s="8"/>
      <c r="C109" s="9"/>
      <c r="D109" s="9"/>
      <c r="E109" s="23"/>
      <c r="F109" s="8"/>
      <c r="G109" s="26"/>
      <c r="H109" s="8"/>
      <c r="I109" s="26"/>
      <c r="J109" s="10"/>
      <c r="K109" s="32"/>
      <c r="M109" s="31"/>
      <c r="N109" s="10"/>
      <c r="O109" s="10"/>
      <c r="P109" s="10"/>
      <c r="Q109" s="9"/>
      <c r="R109" s="9"/>
      <c r="S109" s="9"/>
      <c r="T109" s="9"/>
      <c r="U109" s="9"/>
      <c r="V109" s="12"/>
    </row>
    <row r="110" spans="2:22" x14ac:dyDescent="0.25">
      <c r="B110" s="8"/>
      <c r="C110" s="9"/>
      <c r="D110" s="9"/>
      <c r="E110" s="23"/>
      <c r="F110" s="8"/>
      <c r="G110" s="26"/>
      <c r="H110" s="8"/>
      <c r="I110" s="26"/>
      <c r="J110" s="10"/>
      <c r="K110" s="32"/>
      <c r="M110" s="31"/>
      <c r="N110" s="10"/>
      <c r="O110" s="10"/>
      <c r="P110" s="10"/>
      <c r="Q110" s="9"/>
      <c r="R110" s="9"/>
      <c r="S110" s="9"/>
      <c r="T110" s="9"/>
      <c r="U110" s="9"/>
      <c r="V110" s="12"/>
    </row>
    <row r="111" spans="2:22" x14ac:dyDescent="0.25">
      <c r="B111" s="8"/>
      <c r="C111" s="9"/>
      <c r="D111" s="9"/>
      <c r="E111" s="23"/>
      <c r="F111" s="8"/>
      <c r="G111" s="26"/>
      <c r="H111" s="8"/>
      <c r="I111" s="26"/>
      <c r="J111" s="10"/>
      <c r="K111" s="32"/>
      <c r="M111" s="31"/>
      <c r="N111" s="10"/>
      <c r="O111" s="10"/>
      <c r="P111" s="10"/>
      <c r="Q111" s="9"/>
      <c r="R111" s="9"/>
      <c r="S111" s="9"/>
      <c r="T111" s="9"/>
      <c r="U111" s="9"/>
      <c r="V111" s="12"/>
    </row>
    <row r="112" spans="2:22" ht="15.75" thickBot="1" x14ac:dyDescent="0.3">
      <c r="B112" s="13"/>
      <c r="C112" s="14"/>
      <c r="D112" s="14"/>
      <c r="E112" s="24"/>
      <c r="F112" s="13"/>
      <c r="G112" s="27"/>
      <c r="H112" s="13"/>
      <c r="I112" s="27"/>
      <c r="J112" s="15"/>
      <c r="K112" s="34"/>
      <c r="M112" s="33"/>
      <c r="N112" s="15"/>
      <c r="O112" s="15"/>
      <c r="P112" s="15"/>
      <c r="Q112" s="14"/>
      <c r="R112" s="14"/>
      <c r="S112" s="14"/>
      <c r="T112" s="14"/>
      <c r="U112" s="14"/>
      <c r="V112" s="17"/>
    </row>
    <row r="113" spans="13:13" x14ac:dyDescent="0.25">
      <c r="M113" s="1"/>
    </row>
    <row r="114" spans="13:13" x14ac:dyDescent="0.25">
      <c r="M114" s="1"/>
    </row>
  </sheetData>
  <conditionalFormatting sqref="G63:G112">
    <cfRule type="expression" dxfId="26" priority="16">
      <formula>IF($E63="Nee",TRUE,FALSE)</formula>
    </cfRule>
  </conditionalFormatting>
  <conditionalFormatting sqref="I63:I112">
    <cfRule type="expression" dxfId="25" priority="15">
      <formula>IF($H63="Nee",TRUE,FALSE)</formula>
    </cfRule>
  </conditionalFormatting>
  <conditionalFormatting sqref="K63:K112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G16:G62">
    <cfRule type="expression" dxfId="21" priority="5">
      <formula>IF($E16="Nee",TRUE,FALSE)</formula>
    </cfRule>
  </conditionalFormatting>
  <conditionalFormatting sqref="I16:I62">
    <cfRule type="expression" dxfId="20" priority="4">
      <formula>IF($H16="Nee",TRUE,FALSE)</formula>
    </cfRule>
  </conditionalFormatting>
  <conditionalFormatting sqref="K16:K62">
    <cfRule type="cellIs" dxfId="19" priority="1" operator="equal">
      <formula>"0"</formula>
    </cfRule>
    <cfRule type="cellIs" dxfId="18" priority="2" operator="equal">
      <formula>"ND"</formula>
    </cfRule>
    <cfRule type="cellIs" dxfId="1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RIGHT(K63,LEN('Normen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RIGHT(K63,LEN('Normen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RIGHT(K63,LEN('Normen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RIGHT(K63,LEN('Normen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duidingsklassen'!$D$13,K63)))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duidingsklassen'!$D$14,K63)))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K63:K112</xm:sqref>
        </x14:conditionalFormatting>
        <x14:conditionalFormatting xmlns:xm="http://schemas.microsoft.com/office/excel/2006/main">
          <x14:cfRule type="endsWith" priority="6" operator="endsWith" id="{586B226F-564A-4F08-A565-77A96FDC666E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90C8A744-8A0F-4CF8-9316-EB4276F39C83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FB7609F2-2C71-438F-A588-B95D18C0A23E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CC631EDE-93A0-4C66-88A0-4731BD84130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43C193A2-B04C-4520-A6E6-ADB6C8D485B0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D701F7CD-61B0-4C61-B40A-1438E25E095E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K16:K62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E113:E128 F16:F112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workbookViewId="0">
      <selection activeCell="N10" sqref="N10"/>
    </sheetView>
  </sheetViews>
  <sheetFormatPr defaultRowHeight="15" x14ac:dyDescent="0.25"/>
  <cols>
    <col min="2" max="2" width="34.140625" customWidth="1"/>
    <col min="3" max="3" width="8.5703125" bestFit="1" customWidth="1"/>
    <col min="4" max="4" width="18.7109375" customWidth="1"/>
    <col min="5" max="5" width="18.5703125" customWidth="1"/>
    <col min="6" max="6" width="12.85546875" bestFit="1" customWidth="1"/>
    <col min="8" max="9" width="14.85546875" bestFit="1" customWidth="1"/>
    <col min="11" max="11" width="13.140625" bestFit="1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5" x14ac:dyDescent="0.25">
      <c r="B2" s="2" t="s">
        <v>63</v>
      </c>
      <c r="D2" s="1">
        <f>IFERROR(1-PRODUCT(M7:M13)*(1-L15),"GR")</f>
        <v>4.3040746848401756E-3</v>
      </c>
      <c r="E2" t="str">
        <f>IF(D2="GR","-",INDEX('Normen en duidingsklassen'!$D$4:$D$8,I2))</f>
        <v>C</v>
      </c>
      <c r="H2">
        <f t="array" ref="H2">MIN(IF('Normen en duidingsklassen'!$E$4:$E$8&gt;D2,'Normen en duidingsklassen'!$F$4:$F$8))</f>
        <v>1E-3</v>
      </c>
      <c r="I2">
        <f>IFERROR(MATCH(H2,'Normen en duidingsklassen'!$F$4:$F$8),1)</f>
        <v>4</v>
      </c>
    </row>
    <row r="3" spans="2:15" x14ac:dyDescent="0.25">
      <c r="B3" s="2" t="s">
        <v>62</v>
      </c>
      <c r="D3" s="1">
        <f>1-PRODUCT(O7:O13)*(1-N15)</f>
        <v>4.3040746848401756E-3</v>
      </c>
      <c r="E3" t="str">
        <f>INDEX('Normen en duidingsklassen'!$D$4:$D$8,I3)</f>
        <v>C</v>
      </c>
      <c r="H3">
        <f t="array" ref="H3">MIN(IF('Normen en duidingsklassen'!$E$4:$E$8&gt;D3,'Normen en duidingsklassen'!$F$4:$F$8))</f>
        <v>1E-3</v>
      </c>
      <c r="I3">
        <f>IFERROR(MATCH(H3,'Normen en duidingsklassen'!$F$4:$F$8),1)</f>
        <v>4</v>
      </c>
    </row>
    <row r="5" spans="2:15" ht="15.75" thickBot="1" x14ac:dyDescent="0.3">
      <c r="H5" s="2" t="s">
        <v>53</v>
      </c>
    </row>
    <row r="6" spans="2:15" ht="15.75" thickBot="1" x14ac:dyDescent="0.3">
      <c r="B6" s="43"/>
      <c r="C6" s="35" t="s">
        <v>36</v>
      </c>
      <c r="D6" s="47" t="s">
        <v>30</v>
      </c>
      <c r="E6" s="49" t="s">
        <v>64</v>
      </c>
      <c r="F6" s="49" t="s">
        <v>186</v>
      </c>
      <c r="H6" s="2" t="s">
        <v>65</v>
      </c>
      <c r="I6" s="2" t="s">
        <v>66</v>
      </c>
      <c r="J6" s="2" t="s">
        <v>182</v>
      </c>
      <c r="K6" s="2" t="s">
        <v>183</v>
      </c>
      <c r="L6" s="2" t="s">
        <v>179</v>
      </c>
      <c r="M6" s="2" t="s">
        <v>184</v>
      </c>
      <c r="N6" s="2" t="s">
        <v>180</v>
      </c>
      <c r="O6" s="2" t="s">
        <v>185</v>
      </c>
    </row>
    <row r="7" spans="2:15" x14ac:dyDescent="0.25">
      <c r="B7" s="39" t="s">
        <v>56</v>
      </c>
      <c r="C7" s="29">
        <f>STPH!C7</f>
        <v>2.3947398894430538E-4</v>
      </c>
      <c r="D7" s="25">
        <f>STPH!C8</f>
        <v>2.3947398894430538E-4</v>
      </c>
      <c r="E7" s="48"/>
      <c r="F7" s="48" t="str">
        <f>STPH!C6</f>
        <v>Nee</v>
      </c>
      <c r="H7" s="1">
        <f t="shared" ref="H7:H13" si="0">IF(ISNUMBER(E7),1-E7,1-C7)</f>
        <v>0.99976052601105569</v>
      </c>
      <c r="I7" s="1">
        <f t="shared" ref="I7:I13" si="1">IF(ISNUMBER(E7),1-E7,1-D7)</f>
        <v>0.99976052601105569</v>
      </c>
      <c r="J7" s="1">
        <f>1-H7</f>
        <v>2.3947398894430538E-4</v>
      </c>
      <c r="K7" s="1">
        <f>1-I7</f>
        <v>2.3947398894430538E-4</v>
      </c>
      <c r="L7" s="1">
        <f>IF(F7="Ja",1,0)*J7</f>
        <v>0</v>
      </c>
      <c r="M7" s="1">
        <f>1-(1-IF(F7="Ja",1,0))*J7</f>
        <v>0.99976052601105569</v>
      </c>
      <c r="N7" s="1">
        <f>IF(F7="Ja",1,0)*K7</f>
        <v>0</v>
      </c>
      <c r="O7" s="1">
        <f>1-(1-IF(F7="Ja",1,0))*K7</f>
        <v>0.99976052601105569</v>
      </c>
    </row>
    <row r="8" spans="2:15" x14ac:dyDescent="0.25">
      <c r="B8" s="39" t="s">
        <v>57</v>
      </c>
      <c r="C8" s="31">
        <f>STBI!C7</f>
        <v>3.9350988919691909E-3</v>
      </c>
      <c r="D8" s="26">
        <f>STBI!C8</f>
        <v>3.9350988919691909E-3</v>
      </c>
      <c r="E8" s="48"/>
      <c r="F8" s="48" t="str">
        <f>STBI!C6</f>
        <v>Nee</v>
      </c>
      <c r="H8" s="1">
        <f t="shared" si="0"/>
        <v>0.99606490110803081</v>
      </c>
      <c r="I8" s="1">
        <f t="shared" si="1"/>
        <v>0.99606490110803081</v>
      </c>
      <c r="J8" s="1">
        <f t="shared" ref="J8:K13" si="2">1-H8</f>
        <v>3.9350988919691909E-3</v>
      </c>
      <c r="K8" s="1">
        <f t="shared" si="2"/>
        <v>3.9350988919691909E-3</v>
      </c>
      <c r="L8" s="1">
        <f t="shared" ref="L8:L13" si="3">IF(F8="Ja",1,0)*J8</f>
        <v>0</v>
      </c>
      <c r="M8" s="1">
        <f t="shared" ref="M8:M13" si="4">1-(1-IF(F8="Ja",1,0))*J8</f>
        <v>0.99606490110803081</v>
      </c>
      <c r="N8" s="1">
        <f t="shared" ref="N8:N13" si="5">IF(F8="Ja",1,0)*K8</f>
        <v>0</v>
      </c>
      <c r="O8" s="1">
        <f t="shared" ref="O8:O13" si="6">1-(1-IF(F8="Ja",1,0))*K8</f>
        <v>0.99606490110803081</v>
      </c>
    </row>
    <row r="9" spans="2:15" x14ac:dyDescent="0.25">
      <c r="B9" s="39" t="s">
        <v>58</v>
      </c>
      <c r="C9" s="31">
        <f>GEKB!C7</f>
        <v>4.3478260869565214E-6</v>
      </c>
      <c r="D9" s="26">
        <f>GEKB!C8</f>
        <v>4.3478260869565214E-6</v>
      </c>
      <c r="E9" s="48"/>
      <c r="F9" s="48" t="str">
        <f>GEKB!C6</f>
        <v>Ja</v>
      </c>
      <c r="H9" s="1">
        <f t="shared" si="0"/>
        <v>0.99999565217391306</v>
      </c>
      <c r="I9" s="1">
        <f t="shared" si="1"/>
        <v>0.99999565217391306</v>
      </c>
      <c r="J9" s="1">
        <f t="shared" si="2"/>
        <v>4.3478260869367347E-6</v>
      </c>
      <c r="K9" s="1">
        <f t="shared" si="2"/>
        <v>4.3478260869367347E-6</v>
      </c>
      <c r="L9" s="1">
        <f t="shared" si="3"/>
        <v>4.3478260869367347E-6</v>
      </c>
      <c r="M9" s="1">
        <f t="shared" si="4"/>
        <v>1</v>
      </c>
      <c r="N9" s="1">
        <f t="shared" si="5"/>
        <v>4.3478260869367347E-6</v>
      </c>
      <c r="O9" s="1">
        <f t="shared" si="6"/>
        <v>1</v>
      </c>
    </row>
    <row r="10" spans="2:15" x14ac:dyDescent="0.25">
      <c r="B10" s="39" t="s">
        <v>59</v>
      </c>
      <c r="C10" s="31">
        <f>DA!C7</f>
        <v>0</v>
      </c>
      <c r="D10" s="26">
        <f>DA!C8</f>
        <v>0</v>
      </c>
      <c r="E10" s="48"/>
      <c r="F10" s="48" t="str">
        <f>DA!C6</f>
        <v>Nee</v>
      </c>
      <c r="H10" s="1">
        <f t="shared" si="0"/>
        <v>1</v>
      </c>
      <c r="I10" s="1">
        <f t="shared" si="1"/>
        <v>1</v>
      </c>
      <c r="J10" s="1">
        <f t="shared" si="2"/>
        <v>0</v>
      </c>
      <c r="K10" s="1">
        <f t="shared" si="2"/>
        <v>0</v>
      </c>
      <c r="L10" s="1">
        <f t="shared" si="3"/>
        <v>0</v>
      </c>
      <c r="M10" s="1">
        <f t="shared" si="4"/>
        <v>1</v>
      </c>
      <c r="N10" s="1">
        <f t="shared" si="5"/>
        <v>0</v>
      </c>
      <c r="O10" s="1">
        <f t="shared" si="6"/>
        <v>1</v>
      </c>
    </row>
    <row r="11" spans="2:15" x14ac:dyDescent="0.25">
      <c r="B11" s="39" t="s">
        <v>60</v>
      </c>
      <c r="C11" s="31">
        <f>STKWp!C7</f>
        <v>6.9517967803744973E-5</v>
      </c>
      <c r="D11" s="26">
        <f>STKWp!C8</f>
        <v>6.9517967803744973E-5</v>
      </c>
      <c r="E11" s="48"/>
      <c r="F11" s="48" t="str">
        <f>STKWp!C6</f>
        <v>Nee</v>
      </c>
      <c r="H11" s="1">
        <f t="shared" si="0"/>
        <v>0.99993048203219626</v>
      </c>
      <c r="I11" s="1">
        <f t="shared" si="1"/>
        <v>0.99993048203219626</v>
      </c>
      <c r="J11" s="1">
        <f t="shared" si="2"/>
        <v>6.9517967803744973E-5</v>
      </c>
      <c r="K11" s="1">
        <f t="shared" si="2"/>
        <v>6.9517967803744973E-5</v>
      </c>
      <c r="L11" s="1">
        <f t="shared" si="3"/>
        <v>0</v>
      </c>
      <c r="M11" s="1">
        <f t="shared" si="4"/>
        <v>0.99993048203219626</v>
      </c>
      <c r="N11" s="1">
        <f t="shared" si="5"/>
        <v>0</v>
      </c>
      <c r="O11" s="1">
        <f t="shared" si="6"/>
        <v>0.99993048203219626</v>
      </c>
    </row>
    <row r="12" spans="2:15" x14ac:dyDescent="0.25">
      <c r="B12" s="39" t="s">
        <v>61</v>
      </c>
      <c r="C12" s="31">
        <f>HTKW!C7</f>
        <v>4.88E-5</v>
      </c>
      <c r="D12" s="26">
        <f>HTKW!C8</f>
        <v>4.88E-5</v>
      </c>
      <c r="E12" s="48"/>
      <c r="F12" s="48" t="str">
        <f>HTKW!C6</f>
        <v>Nee</v>
      </c>
      <c r="H12" s="1">
        <f t="shared" si="0"/>
        <v>0.99995120000000004</v>
      </c>
      <c r="I12" s="1">
        <f t="shared" si="1"/>
        <v>0.99995120000000004</v>
      </c>
      <c r="J12" s="1">
        <f t="shared" si="2"/>
        <v>4.8799999999959986E-5</v>
      </c>
      <c r="K12" s="1">
        <f t="shared" si="2"/>
        <v>4.8799999999959986E-5</v>
      </c>
      <c r="L12" s="1">
        <f t="shared" si="3"/>
        <v>0</v>
      </c>
      <c r="M12" s="1">
        <f t="shared" si="4"/>
        <v>0.99995120000000004</v>
      </c>
      <c r="N12" s="1">
        <f t="shared" si="5"/>
        <v>0</v>
      </c>
      <c r="O12" s="1">
        <f t="shared" si="6"/>
        <v>0.99995120000000004</v>
      </c>
    </row>
    <row r="13" spans="2:15" x14ac:dyDescent="0.25">
      <c r="B13" s="39" t="s">
        <v>80</v>
      </c>
      <c r="C13" s="31">
        <f>BSKW!C7</f>
        <v>8.3299999999999999E-6</v>
      </c>
      <c r="D13" s="26">
        <f>BSKW!C8</f>
        <v>8.3299999999999999E-6</v>
      </c>
      <c r="E13" s="48"/>
      <c r="F13" s="48" t="str">
        <f>BSKW!C6</f>
        <v>Nee</v>
      </c>
      <c r="H13" s="1">
        <f t="shared" si="0"/>
        <v>0.99999167</v>
      </c>
      <c r="I13" s="1">
        <f t="shared" si="1"/>
        <v>0.99999167</v>
      </c>
      <c r="J13" s="1">
        <f t="shared" si="2"/>
        <v>8.3300000000008367E-6</v>
      </c>
      <c r="K13" s="1">
        <f t="shared" si="2"/>
        <v>8.3300000000008367E-6</v>
      </c>
      <c r="L13" s="1">
        <f t="shared" si="3"/>
        <v>0</v>
      </c>
      <c r="M13" s="1">
        <f t="shared" si="4"/>
        <v>0.99999167</v>
      </c>
      <c r="N13" s="1">
        <f t="shared" si="5"/>
        <v>0</v>
      </c>
      <c r="O13" s="1">
        <f t="shared" si="6"/>
        <v>0.99999167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181</v>
      </c>
      <c r="I15" s="1"/>
      <c r="K15" s="1"/>
      <c r="L15" s="1">
        <f>MAX(L7:L13)</f>
        <v>4.3478260869367347E-6</v>
      </c>
      <c r="N15" s="1">
        <f>MAX(N7:N13)</f>
        <v>4.3478260869367347E-6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17"/>
  <sheetViews>
    <sheetView workbookViewId="0">
      <selection activeCell="N21" sqref="N21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92</v>
      </c>
      <c r="E2" s="67" t="s">
        <v>171</v>
      </c>
      <c r="F2" s="52" t="s">
        <v>56</v>
      </c>
      <c r="G2" s="52" t="s">
        <v>57</v>
      </c>
      <c r="H2" s="52" t="s">
        <v>58</v>
      </c>
      <c r="I2" s="52" t="s">
        <v>59</v>
      </c>
      <c r="J2" s="52" t="s">
        <v>60</v>
      </c>
      <c r="K2" s="52" t="s">
        <v>80</v>
      </c>
      <c r="L2" s="53" t="s">
        <v>61</v>
      </c>
    </row>
    <row r="3" spans="2:12" x14ac:dyDescent="0.25">
      <c r="B3" s="3">
        <v>0</v>
      </c>
      <c r="C3" s="9">
        <v>0.59999999999999964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</v>
      </c>
      <c r="F3" s="4" t="str">
        <f t="array" ref="F3">INDEX(STPH!$O$16:$O$31,IFERROR(MATCH(MIN(IF(STPH!$D$16:$D$31&gt;AVERAGE(B3,C3),STPH!$D$16:$D$31)),STPH!$D$16:$D$31),1))</f>
        <v>+I</v>
      </c>
      <c r="G3" s="4" t="str">
        <f t="array" ref="G3">INDEX(STBI!$O$16:$O$41,IFERROR(MATCH(MIN(IF(STBI!$D$16:$D$41&gt;AVERAGE(B3,C3),STBI!$D$16:$D$41)),STBI!$D$16:$D$41),1))</f>
        <v>+III</v>
      </c>
      <c r="H3" s="4" t="str">
        <f t="array" ref="H3">INDEX(GEKB!$K$16:$K$35,IFERROR(MATCH(MIN(IF(GEKB!$D$16:$D$35&gt;AVERAGE(B3,C3),GEKB!$D$16:$D$35)),GEKB!$D$16:$D$35),1))</f>
        <v>+II</v>
      </c>
      <c r="I3" s="4" t="str">
        <f t="array" ref="I3">INDEX(DA!$K$16:$K$35,IFERROR(MATCH(MIN(IF(DA!$D$16:$D$35&gt;AVERAGE(B3,C3),DA!$D$16:$D$35)),DA!$D$16:$D$35),1))</f>
        <v>NR</v>
      </c>
      <c r="J3" s="4" t="str">
        <f t="array" ref="J3">INDEX(STKWp!$K$16:$K$67,IFERROR(MATCH(MIN(IF(STKWp!$D$16:$D$67&gt;AVERAGE(B3,C3),STKWp!$D$16:$D$67)),STKWp!$D$16:$D$67),1))</f>
        <v>NR</v>
      </c>
      <c r="K3" s="4" t="str">
        <f t="array" ref="K3">INDEX(BSKW!$K$16:$K$114,IFERROR(MATCH(MIN(IF(BSKW!$D$16:$D$114&gt;AVERAGE(B3,C3),BSKW!$D$16:$D$114)),BSKW!$D$16:$D$114),1))</f>
        <v>NR</v>
      </c>
      <c r="L3" s="7" t="str">
        <f t="array" ref="L3">INDEX(HTKW!$K$16:$K$91,IFERROR(MATCH(MIN(IF(HTKW!$D$16:$D$91&gt;AVERAGE(B3,C3),HTKW!$D$16:$D$91)),HTKW!$D$16:$D$91),1))</f>
        <v>NR</v>
      </c>
    </row>
    <row r="4" spans="2:12" x14ac:dyDescent="0.25">
      <c r="B4" s="8">
        <v>0.59999999999999964</v>
      </c>
      <c r="C4" s="9">
        <v>1</v>
      </c>
      <c r="D4" s="23" t="str">
        <f t="shared" si="0"/>
        <v>+I</v>
      </c>
      <c r="E4" s="23" t="str">
        <f t="shared" si="1"/>
        <v>+I</v>
      </c>
      <c r="F4" s="9" t="str">
        <f t="array" ref="F4">INDEX(STPH!$O$16:$O$31,IFERROR(MATCH(MIN(IF(STPH!$D$16:$D$31&gt;AVERAGE(B4,C4),STPH!$D$16:$D$31)),STPH!$D$16:$D$31),1))</f>
        <v>+I</v>
      </c>
      <c r="G4" s="9" t="str">
        <f t="array" ref="G4">INDEX(STBI!$O$16:$O$41,IFERROR(MATCH(MIN(IF(STBI!$D$16:$D$41&gt;AVERAGE(B4,C4),STBI!$D$16:$D$41)),STBI!$D$16:$D$41),1))</f>
        <v>+III</v>
      </c>
      <c r="H4" s="9" t="str">
        <f t="array" ref="H4">INDEX(GEKB!$K$16:$K$35,IFERROR(MATCH(MIN(IF(GEKB!$D$16:$D$35&gt;AVERAGE(B4,C4),GEKB!$D$16:$D$35)),GEKB!$D$16:$D$35),1))</f>
        <v>+II</v>
      </c>
      <c r="I4" s="9" t="str">
        <f t="array" ref="I4">INDEX(DA!$K$16:$K$35,IFERROR(MATCH(MIN(IF(DA!$D$16:$D$35&gt;AVERAGE(B4,C4),DA!$D$16:$D$35)),DA!$D$16:$D$35),1))</f>
        <v>NR</v>
      </c>
      <c r="J4" s="9" t="str">
        <f t="array" ref="J4">INDEX(STKWp!$K$16:$K$67,IFERROR(MATCH(MIN(IF(STKWp!$D$16:$D$67&gt;AVERAGE(B4,C4),STKWp!$D$16:$D$67)),STKWp!$D$16:$D$67),1))</f>
        <v>NR</v>
      </c>
      <c r="K4" s="9" t="str">
        <f t="array" ref="K4">INDEX(BSKW!$K$16:$K$114,IFERROR(MATCH(MIN(IF(BSKW!$D$16:$D$114&gt;AVERAGE(B4,C4),BSKW!$D$16:$D$114)),BSKW!$D$16:$D$114),1))</f>
        <v>NR</v>
      </c>
      <c r="L4" s="12" t="str">
        <f t="array" ref="L4">INDEX(HTKW!$K$16:$K$91,IFERROR(MATCH(MIN(IF(HTKW!$D$16:$D$91&gt;AVERAGE(B4,C4),HTKW!$D$16:$D$91)),HTKW!$D$16:$D$91),1))</f>
        <v>NR</v>
      </c>
    </row>
    <row r="5" spans="2:12" x14ac:dyDescent="0.25">
      <c r="B5" s="8">
        <v>1</v>
      </c>
      <c r="C5" s="9">
        <v>1.4</v>
      </c>
      <c r="D5" s="23" t="str">
        <f t="shared" si="0"/>
        <v>+I</v>
      </c>
      <c r="E5" s="23" t="str">
        <f t="shared" si="1"/>
        <v>+I</v>
      </c>
      <c r="F5" s="9" t="str">
        <f t="array" ref="F5">INDEX(STPH!$O$16:$O$31,IFERROR(MATCH(MIN(IF(STPH!$D$16:$D$31&gt;AVERAGE(B5,C5),STPH!$D$16:$D$31)),STPH!$D$16:$D$31),1))</f>
        <v>+I</v>
      </c>
      <c r="G5" s="9" t="str">
        <f t="array" ref="G5">INDEX(STBI!$O$16:$O$41,IFERROR(MATCH(MIN(IF(STBI!$D$16:$D$41&gt;AVERAGE(B5,C5),STBI!$D$16:$D$41)),STBI!$D$16:$D$41),1))</f>
        <v>+III</v>
      </c>
      <c r="H5" s="9" t="str">
        <f t="array" ref="H5">INDEX(GEKB!$K$16:$K$35,IFERROR(MATCH(MIN(IF(GEKB!$D$16:$D$35&gt;AVERAGE(B5,C5),GEKB!$D$16:$D$35)),GEKB!$D$16:$D$35),1))</f>
        <v>+II</v>
      </c>
      <c r="I5" s="9" t="str">
        <f t="array" ref="I5">INDEX(DA!$K$16:$K$35,IFERROR(MATCH(MIN(IF(DA!$D$16:$D$35&gt;AVERAGE(B5,C5),DA!$D$16:$D$35)),DA!$D$16:$D$35),1))</f>
        <v>NR</v>
      </c>
      <c r="J5" s="9" t="str">
        <f t="array" ref="J5">INDEX(STKWp!$K$16:$K$67,IFERROR(MATCH(MIN(IF(STKWp!$D$16:$D$67&gt;AVERAGE(B5,C5),STKWp!$D$16:$D$67)),STKWp!$D$16:$D$67),1))</f>
        <v>NR</v>
      </c>
      <c r="K5" s="9" t="str">
        <f t="array" ref="K5">INDEX(BSKW!$K$16:$K$114,IFERROR(MATCH(MIN(IF(BSKW!$D$16:$D$114&gt;AVERAGE(B5,C5),BSKW!$D$16:$D$114)),BSKW!$D$16:$D$114),1))</f>
        <v>NR</v>
      </c>
      <c r="L5" s="12" t="str">
        <f t="array" ref="L5">INDEX(HTKW!$K$16:$K$91,IFERROR(MATCH(MIN(IF(HTKW!$D$16:$D$91&gt;AVERAGE(B5,C5),HTKW!$D$16:$D$91)),HTKW!$D$16:$D$91),1))</f>
        <v>NR</v>
      </c>
    </row>
    <row r="6" spans="2:12" x14ac:dyDescent="0.25">
      <c r="B6" s="8">
        <v>1.4</v>
      </c>
      <c r="C6" s="9">
        <v>1.41</v>
      </c>
      <c r="D6" s="23" t="str">
        <f t="shared" si="0"/>
        <v>+I</v>
      </c>
      <c r="E6" s="23" t="str">
        <f t="shared" si="1"/>
        <v>+I</v>
      </c>
      <c r="F6" s="9" t="str">
        <f t="array" ref="F6">INDEX(STPH!$O$16:$O$31,IFERROR(MATCH(MIN(IF(STPH!$D$16:$D$31&gt;AVERAGE(B6,C6),STPH!$D$16:$D$31)),STPH!$D$16:$D$31),1))</f>
        <v>+I</v>
      </c>
      <c r="G6" s="9" t="str">
        <f t="array" ref="G6">INDEX(STBI!$O$16:$O$41,IFERROR(MATCH(MIN(IF(STBI!$D$16:$D$41&gt;AVERAGE(B6,C6),STBI!$D$16:$D$41)),STBI!$D$16:$D$41),1))</f>
        <v>+III</v>
      </c>
      <c r="H6" s="9" t="str">
        <f t="array" ref="H6">INDEX(GEKB!$K$16:$K$35,IFERROR(MATCH(MIN(IF(GEKB!$D$16:$D$35&gt;AVERAGE(B6,C6),GEKB!$D$16:$D$35)),GEKB!$D$16:$D$35),1))</f>
        <v>+II</v>
      </c>
      <c r="I6" s="9" t="str">
        <f t="array" ref="I6">INDEX(DA!$K$16:$K$35,IFERROR(MATCH(MIN(IF(DA!$D$16:$D$35&gt;AVERAGE(B6,C6),DA!$D$16:$D$35)),DA!$D$16:$D$35),1))</f>
        <v>NR</v>
      </c>
      <c r="J6" s="9" t="str">
        <f t="array" ref="J6">INDEX(STKWp!$K$16:$K$67,IFERROR(MATCH(MIN(IF(STKWp!$D$16:$D$67&gt;AVERAGE(B6,C6),STKWp!$D$16:$D$67)),STKWp!$D$16:$D$67),1))</f>
        <v>+II</v>
      </c>
      <c r="K6" s="9" t="str">
        <f t="array" ref="K6">INDEX(BSKW!$K$16:$K$114,IFERROR(MATCH(MIN(IF(BSKW!$D$16:$D$114&gt;AVERAGE(B6,C6),BSKW!$D$16:$D$114)),BSKW!$D$16:$D$114),1))</f>
        <v>+II</v>
      </c>
      <c r="L6" s="12" t="str">
        <f t="array" ref="L6">INDEX(HTKW!$K$16:$K$91,IFERROR(MATCH(MIN(IF(HTKW!$D$16:$D$91&gt;AVERAGE(B6,C6),HTKW!$D$16:$D$91)),HTKW!$D$16:$D$91),1))</f>
        <v>+II</v>
      </c>
    </row>
    <row r="7" spans="2:12" x14ac:dyDescent="0.25">
      <c r="B7" s="8">
        <v>1.41</v>
      </c>
      <c r="C7" s="9">
        <v>1.7</v>
      </c>
      <c r="D7" s="23" t="str">
        <f t="shared" si="0"/>
        <v>+I</v>
      </c>
      <c r="E7" s="23" t="str">
        <f t="shared" si="1"/>
        <v>+I</v>
      </c>
      <c r="F7" s="9" t="str">
        <f t="array" ref="F7">INDEX(STPH!$O$16:$O$31,IFERROR(MATCH(MIN(IF(STPH!$D$16:$D$31&gt;AVERAGE(B7,C7),STPH!$D$16:$D$31)),STPH!$D$16:$D$31),1))</f>
        <v>+I</v>
      </c>
      <c r="G7" s="9" t="str">
        <f t="array" ref="G7">INDEX(STBI!$O$16:$O$41,IFERROR(MATCH(MIN(IF(STBI!$D$16:$D$41&gt;AVERAGE(B7,C7),STBI!$D$16:$D$41)),STBI!$D$16:$D$41),1))</f>
        <v>+III</v>
      </c>
      <c r="H7" s="9" t="str">
        <f t="array" ref="H7">INDEX(GEKB!$K$16:$K$35,IFERROR(MATCH(MIN(IF(GEKB!$D$16:$D$35&gt;AVERAGE(B7,C7),GEKB!$D$16:$D$35)),GEKB!$D$16:$D$35),1))</f>
        <v>+II</v>
      </c>
      <c r="I7" s="9" t="str">
        <f t="array" ref="I7">INDEX(DA!$K$16:$K$35,IFERROR(MATCH(MIN(IF(DA!$D$16:$D$35&gt;AVERAGE(B7,C7),DA!$D$16:$D$35)),DA!$D$16:$D$35),1))</f>
        <v>NR</v>
      </c>
      <c r="J7" s="9" t="str">
        <f t="array" ref="J7">INDEX(STKWp!$K$16:$K$67,IFERROR(MATCH(MIN(IF(STKWp!$D$16:$D$67&gt;AVERAGE(B7,C7),STKWp!$D$16:$D$67)),STKWp!$D$16:$D$67),1))</f>
        <v>NR</v>
      </c>
      <c r="K7" s="9" t="str">
        <f t="array" ref="K7">INDEX(BSKW!$K$16:$K$114,IFERROR(MATCH(MIN(IF(BSKW!$D$16:$D$114&gt;AVERAGE(B7,C7),BSKW!$D$16:$D$114)),BSKW!$D$16:$D$114),1))</f>
        <v>NR</v>
      </c>
      <c r="L7" s="12" t="str">
        <f t="array" ref="L7">INDEX(HTKW!$K$16:$K$91,IFERROR(MATCH(MIN(IF(HTKW!$D$16:$D$91&gt;AVERAGE(B7,C7),HTKW!$D$16:$D$91)),HTKW!$D$16:$D$91),1))</f>
        <v>NR</v>
      </c>
    </row>
    <row r="8" spans="2:12" x14ac:dyDescent="0.25">
      <c r="B8" s="8">
        <v>1.7</v>
      </c>
      <c r="C8" s="9">
        <v>1.71</v>
      </c>
      <c r="D8" s="23" t="str">
        <f t="shared" si="0"/>
        <v>+I</v>
      </c>
      <c r="E8" s="23" t="str">
        <f t="shared" si="1"/>
        <v>+I</v>
      </c>
      <c r="F8" s="9" t="str">
        <f t="array" ref="F8">INDEX(STPH!$O$16:$O$31,IFERROR(MATCH(MIN(IF(STPH!$D$16:$D$31&gt;AVERAGE(B8,C8),STPH!$D$16:$D$31)),STPH!$D$16:$D$31),1))</f>
        <v>+I</v>
      </c>
      <c r="G8" s="9" t="str">
        <f t="array" ref="G8">INDEX(STBI!$O$16:$O$41,IFERROR(MATCH(MIN(IF(STBI!$D$16:$D$41&gt;AVERAGE(B8,C8),STBI!$D$16:$D$41)),STBI!$D$16:$D$41),1))</f>
        <v>+II</v>
      </c>
      <c r="H8" s="9" t="str">
        <f t="array" ref="H8">INDEX(GEKB!$K$16:$K$35,IFERROR(MATCH(MIN(IF(GEKB!$D$16:$D$35&gt;AVERAGE(B8,C8),GEKB!$D$16:$D$35)),GEKB!$D$16:$D$35),1))</f>
        <v>+II</v>
      </c>
      <c r="I8" s="9" t="str">
        <f t="array" ref="I8">INDEX(DA!$K$16:$K$35,IFERROR(MATCH(MIN(IF(DA!$D$16:$D$35&gt;AVERAGE(B8,C8),DA!$D$16:$D$35)),DA!$D$16:$D$35),1))</f>
        <v>NR</v>
      </c>
      <c r="J8" s="9" t="str">
        <f t="array" ref="J8">INDEX(STKWp!$K$16:$K$67,IFERROR(MATCH(MIN(IF(STKWp!$D$16:$D$67&gt;AVERAGE(B8,C8),STKWp!$D$16:$D$67)),STKWp!$D$16:$D$67),1))</f>
        <v>+II</v>
      </c>
      <c r="K8" s="9" t="str">
        <f t="array" ref="K8">INDEX(BSKW!$K$16:$K$114,IFERROR(MATCH(MIN(IF(BSKW!$D$16:$D$114&gt;AVERAGE(B8,C8),BSKW!$D$16:$D$114)),BSKW!$D$16:$D$114),1))</f>
        <v>+II</v>
      </c>
      <c r="L8" s="12" t="str">
        <f t="array" ref="L8">INDEX(HTKW!$K$16:$K$91,IFERROR(MATCH(MIN(IF(HTKW!$D$16:$D$91&gt;AVERAGE(B8,C8),HTKW!$D$16:$D$91)),HTKW!$D$16:$D$91),1))</f>
        <v>+II</v>
      </c>
    </row>
    <row r="9" spans="2:12" x14ac:dyDescent="0.25">
      <c r="B9" s="8">
        <v>1.71</v>
      </c>
      <c r="C9" s="9">
        <v>2.5</v>
      </c>
      <c r="D9" s="23" t="str">
        <f t="shared" si="0"/>
        <v>+I</v>
      </c>
      <c r="E9" s="23" t="str">
        <f t="shared" si="1"/>
        <v>+I</v>
      </c>
      <c r="F9" s="9" t="str">
        <f t="array" ref="F9">INDEX(STPH!$O$16:$O$31,IFERROR(MATCH(MIN(IF(STPH!$D$16:$D$31&gt;AVERAGE(B9,C9),STPH!$D$16:$D$31)),STPH!$D$16:$D$31),1))</f>
        <v>+I</v>
      </c>
      <c r="G9" s="9" t="str">
        <f t="array" ref="G9">INDEX(STBI!$O$16:$O$41,IFERROR(MATCH(MIN(IF(STBI!$D$16:$D$41&gt;AVERAGE(B9,C9),STBI!$D$16:$D$41)),STBI!$D$16:$D$41),1))</f>
        <v>+II</v>
      </c>
      <c r="H9" s="9" t="str">
        <f t="array" ref="H9">INDEX(GEKB!$K$16:$K$35,IFERROR(MATCH(MIN(IF(GEKB!$D$16:$D$35&gt;AVERAGE(B9,C9),GEKB!$D$16:$D$35)),GEKB!$D$16:$D$35),1))</f>
        <v>+II</v>
      </c>
      <c r="I9" s="9" t="str">
        <f t="array" ref="I9">INDEX(DA!$K$16:$K$35,IFERROR(MATCH(MIN(IF(DA!$D$16:$D$35&gt;AVERAGE(B9,C9),DA!$D$16:$D$35)),DA!$D$16:$D$35),1))</f>
        <v>NR</v>
      </c>
      <c r="J9" s="9" t="str">
        <f t="array" ref="J9">INDEX(STKWp!$K$16:$K$67,IFERROR(MATCH(MIN(IF(STKWp!$D$16:$D$67&gt;AVERAGE(B9,C9),STKWp!$D$16:$D$67)),STKWp!$D$16:$D$67),1))</f>
        <v>NR</v>
      </c>
      <c r="K9" s="9" t="str">
        <f t="array" ref="K9">INDEX(BSKW!$K$16:$K$114,IFERROR(MATCH(MIN(IF(BSKW!$D$16:$D$114&gt;AVERAGE(B9,C9),BSKW!$D$16:$D$114)),BSKW!$D$16:$D$114),1))</f>
        <v>NR</v>
      </c>
      <c r="L9" s="12" t="str">
        <f t="array" ref="L9">INDEX(HTKW!$K$16:$K$91,IFERROR(MATCH(MIN(IF(HTKW!$D$16:$D$91&gt;AVERAGE(B9,C9),HTKW!$D$16:$D$91)),HTKW!$D$16:$D$91),1))</f>
        <v>NR</v>
      </c>
    </row>
    <row r="10" spans="2:12" x14ac:dyDescent="0.25">
      <c r="B10" s="8">
        <v>2.5</v>
      </c>
      <c r="C10" s="9">
        <v>2.5099999999999998</v>
      </c>
      <c r="D10" s="23" t="str">
        <f t="shared" si="0"/>
        <v>+0</v>
      </c>
      <c r="E10" s="23" t="str">
        <f t="shared" si="1"/>
        <v>+0</v>
      </c>
      <c r="F10" s="9" t="str">
        <f t="array" ref="F10">INDEX(STPH!$O$16:$O$31,IFERROR(MATCH(MIN(IF(STPH!$D$16:$D$31&gt;AVERAGE(B10,C10),STPH!$D$16:$D$31)),STPH!$D$16:$D$31),1))</f>
        <v>+0</v>
      </c>
      <c r="G10" s="9" t="str">
        <f t="array" ref="G10">INDEX(STBI!$O$16:$O$41,IFERROR(MATCH(MIN(IF(STBI!$D$16:$D$41&gt;AVERAGE(B10,C10),STBI!$D$16:$D$41)),STBI!$D$16:$D$41),1))</f>
        <v>+III</v>
      </c>
      <c r="H10" s="9" t="str">
        <f t="array" ref="H10">INDEX(GEKB!$K$16:$K$35,IFERROR(MATCH(MIN(IF(GEKB!$D$16:$D$35&gt;AVERAGE(B10,C10),GEKB!$D$16:$D$35)),GEKB!$D$16:$D$35),1))</f>
        <v>+II</v>
      </c>
      <c r="I10" s="9" t="str">
        <f t="array" ref="I10">INDEX(DA!$K$16:$K$35,IFERROR(MATCH(MIN(IF(DA!$D$16:$D$35&gt;AVERAGE(B10,C10),DA!$D$16:$D$35)),DA!$D$16:$D$35),1))</f>
        <v>NR</v>
      </c>
      <c r="J10" s="9" t="str">
        <f t="array" ref="J10">INDEX(STKWp!$K$16:$K$67,IFERROR(MATCH(MIN(IF(STKWp!$D$16:$D$67&gt;AVERAGE(B10,C10),STKWp!$D$16:$D$67)),STKWp!$D$16:$D$67),1))</f>
        <v>+II</v>
      </c>
      <c r="K10" s="9" t="str">
        <f t="array" ref="K10">INDEX(BSKW!$K$16:$K$114,IFERROR(MATCH(MIN(IF(BSKW!$D$16:$D$114&gt;AVERAGE(B10,C10),BSKW!$D$16:$D$114)),BSKW!$D$16:$D$114),1))</f>
        <v>+II</v>
      </c>
      <c r="L10" s="12" t="str">
        <f t="array" ref="L10">INDEX(HTKW!$K$16:$K$91,IFERROR(MATCH(MIN(IF(HTKW!$D$16:$D$91&gt;AVERAGE(B10,C10),HTKW!$D$16:$D$91)),HTKW!$D$16:$D$91),1))</f>
        <v>+II</v>
      </c>
    </row>
    <row r="11" spans="2:12" x14ac:dyDescent="0.25">
      <c r="B11" s="8">
        <v>2.5099999999999998</v>
      </c>
      <c r="C11" s="9">
        <v>2.8</v>
      </c>
      <c r="D11" s="23" t="str">
        <f t="shared" si="0"/>
        <v>+0</v>
      </c>
      <c r="E11" s="23" t="str">
        <f t="shared" si="1"/>
        <v>+0</v>
      </c>
      <c r="F11" s="9" t="str">
        <f t="array" ref="F11">INDEX(STPH!$O$16:$O$31,IFERROR(MATCH(MIN(IF(STPH!$D$16:$D$31&gt;AVERAGE(B11,C11),STPH!$D$16:$D$31)),STPH!$D$16:$D$31),1))</f>
        <v>+0</v>
      </c>
      <c r="G11" s="9" t="str">
        <f t="array" ref="G11">INDEX(STBI!$O$16:$O$41,IFERROR(MATCH(MIN(IF(STBI!$D$16:$D$41&gt;AVERAGE(B11,C11),STBI!$D$16:$D$41)),STBI!$D$16:$D$41),1))</f>
        <v>+III</v>
      </c>
      <c r="H11" s="9" t="str">
        <f t="array" ref="H11">INDEX(GEKB!$K$16:$K$35,IFERROR(MATCH(MIN(IF(GEKB!$D$16:$D$35&gt;AVERAGE(B11,C11),GEKB!$D$16:$D$35)),GEKB!$D$16:$D$35),1))</f>
        <v>+II</v>
      </c>
      <c r="I11" s="9" t="str">
        <f t="array" ref="I11">INDEX(DA!$K$16:$K$35,IFERROR(MATCH(MIN(IF(DA!$D$16:$D$35&gt;AVERAGE(B11,C11),DA!$D$16:$D$35)),DA!$D$16:$D$35),1))</f>
        <v>NR</v>
      </c>
      <c r="J11" s="9" t="str">
        <f t="array" ref="J11">INDEX(STKWp!$K$16:$K$67,IFERROR(MATCH(MIN(IF(STKWp!$D$16:$D$67&gt;AVERAGE(B11,C11),STKWp!$D$16:$D$67)),STKWp!$D$16:$D$67),1))</f>
        <v>NR</v>
      </c>
      <c r="K11" s="9" t="str">
        <f t="array" ref="K11">INDEX(BSKW!$K$16:$K$114,IFERROR(MATCH(MIN(IF(BSKW!$D$16:$D$114&gt;AVERAGE(B11,C11),BSKW!$D$16:$D$114)),BSKW!$D$16:$D$114),1))</f>
        <v>NR</v>
      </c>
      <c r="L11" s="12" t="str">
        <f t="array" ref="L11">INDEX(HTKW!$K$16:$K$91,IFERROR(MATCH(MIN(IF(HTKW!$D$16:$D$91&gt;AVERAGE(B11,C11),HTKW!$D$16:$D$91)),HTKW!$D$16:$D$91),1))</f>
        <v>NR</v>
      </c>
    </row>
    <row r="12" spans="2:12" x14ac:dyDescent="0.25">
      <c r="B12" s="8">
        <v>2.8</v>
      </c>
      <c r="C12" s="9">
        <v>2.81</v>
      </c>
      <c r="D12" s="23" t="str">
        <f t="shared" si="0"/>
        <v>+0</v>
      </c>
      <c r="E12" s="23" t="str">
        <f t="shared" si="1"/>
        <v>+0</v>
      </c>
      <c r="F12" s="9" t="str">
        <f t="array" ref="F12">INDEX(STPH!$O$16:$O$31,IFERROR(MATCH(MIN(IF(STPH!$D$16:$D$31&gt;AVERAGE(B12,C12),STPH!$D$16:$D$31)),STPH!$D$16:$D$31),1))</f>
        <v>+0</v>
      </c>
      <c r="G12" s="9" t="str">
        <f t="array" ref="G12">INDEX(STBI!$O$16:$O$41,IFERROR(MATCH(MIN(IF(STBI!$D$16:$D$41&gt;AVERAGE(B12,C12),STBI!$D$16:$D$41)),STBI!$D$16:$D$41),1))</f>
        <v>+III</v>
      </c>
      <c r="H12" s="9" t="str">
        <f t="array" ref="H12">INDEX(GEKB!$K$16:$K$35,IFERROR(MATCH(MIN(IF(GEKB!$D$16:$D$35&gt;AVERAGE(B12,C12),GEKB!$D$16:$D$35)),GEKB!$D$16:$D$35),1))</f>
        <v>+II</v>
      </c>
      <c r="I12" s="9" t="str">
        <f t="array" ref="I12">INDEX(DA!$K$16:$K$35,IFERROR(MATCH(MIN(IF(DA!$D$16:$D$35&gt;AVERAGE(B12,C12),DA!$D$16:$D$35)),DA!$D$16:$D$35),1))</f>
        <v>NR</v>
      </c>
      <c r="J12" s="9" t="str">
        <f t="array" ref="J12">INDEX(STKWp!$K$16:$K$67,IFERROR(MATCH(MIN(IF(STKWp!$D$16:$D$67&gt;AVERAGE(B12,C12),STKWp!$D$16:$D$67)),STKWp!$D$16:$D$67),1))</f>
        <v>+II</v>
      </c>
      <c r="K12" s="9" t="str">
        <f t="array" ref="K12">INDEX(BSKW!$K$16:$K$114,IFERROR(MATCH(MIN(IF(BSKW!$D$16:$D$114&gt;AVERAGE(B12,C12),BSKW!$D$16:$D$114)),BSKW!$D$16:$D$114),1))</f>
        <v>+II</v>
      </c>
      <c r="L12" s="12" t="str">
        <f t="array" ref="L12">INDEX(HTKW!$K$16:$K$91,IFERROR(MATCH(MIN(IF(HTKW!$D$16:$D$91&gt;AVERAGE(B12,C12),HTKW!$D$16:$D$91)),HTKW!$D$16:$D$91),1))</f>
        <v>+II</v>
      </c>
    </row>
    <row r="13" spans="2:12" x14ac:dyDescent="0.25">
      <c r="B13" s="8">
        <v>2.81</v>
      </c>
      <c r="C13" s="9">
        <v>3.0999999999999996</v>
      </c>
      <c r="D13" s="23" t="str">
        <f t="shared" si="0"/>
        <v>+0</v>
      </c>
      <c r="E13" s="23" t="str">
        <f t="shared" si="1"/>
        <v>+0</v>
      </c>
      <c r="F13" s="9" t="str">
        <f t="array" ref="F13">INDEX(STPH!$O$16:$O$31,IFERROR(MATCH(MIN(IF(STPH!$D$16:$D$31&gt;AVERAGE(B13,C13),STPH!$D$16:$D$31)),STPH!$D$16:$D$31),1))</f>
        <v>+0</v>
      </c>
      <c r="G13" s="9" t="str">
        <f t="array" ref="G13">INDEX(STBI!$O$16:$O$41,IFERROR(MATCH(MIN(IF(STBI!$D$16:$D$41&gt;AVERAGE(B13,C13),STBI!$D$16:$D$41)),STBI!$D$16:$D$41),1))</f>
        <v>+III</v>
      </c>
      <c r="H13" s="9" t="str">
        <f t="array" ref="H13">INDEX(GEKB!$K$16:$K$35,IFERROR(MATCH(MIN(IF(GEKB!$D$16:$D$35&gt;AVERAGE(B13,C13),GEKB!$D$16:$D$35)),GEKB!$D$16:$D$35),1))</f>
        <v>+II</v>
      </c>
      <c r="I13" s="9" t="str">
        <f t="array" ref="I13">INDEX(DA!$K$16:$K$35,IFERROR(MATCH(MIN(IF(DA!$D$16:$D$35&gt;AVERAGE(B13,C13),DA!$D$16:$D$35)),DA!$D$16:$D$35),1))</f>
        <v>NR</v>
      </c>
      <c r="J13" s="9" t="str">
        <f t="array" ref="J13">INDEX(STKWp!$K$16:$K$67,IFERROR(MATCH(MIN(IF(STKWp!$D$16:$D$67&gt;AVERAGE(B13,C13),STKWp!$D$16:$D$67)),STKWp!$D$16:$D$67),1))</f>
        <v>NR</v>
      </c>
      <c r="K13" s="9" t="str">
        <f t="array" ref="K13">INDEX(BSKW!$K$16:$K$114,IFERROR(MATCH(MIN(IF(BSKW!$D$16:$D$114&gt;AVERAGE(B13,C13),BSKW!$D$16:$D$114)),BSKW!$D$16:$D$114),1))</f>
        <v>NR</v>
      </c>
      <c r="L13" s="12" t="str">
        <f t="array" ref="L13">INDEX(HTKW!$K$16:$K$91,IFERROR(MATCH(MIN(IF(HTKW!$D$16:$D$91&gt;AVERAGE(B13,C13),HTKW!$D$16:$D$91)),HTKW!$D$16:$D$91),1))</f>
        <v>NR</v>
      </c>
    </row>
    <row r="14" spans="2:12" x14ac:dyDescent="0.25">
      <c r="B14" s="8">
        <v>3.0999999999999996</v>
      </c>
      <c r="C14" s="9">
        <v>4.2000000000000011</v>
      </c>
      <c r="D14" s="23" t="str">
        <f t="shared" si="0"/>
        <v>+0</v>
      </c>
      <c r="E14" s="23" t="str">
        <f t="shared" si="1"/>
        <v>+0</v>
      </c>
      <c r="F14" s="9" t="str">
        <f t="array" ref="F14">INDEX(STPH!$O$16:$O$31,IFERROR(MATCH(MIN(IF(STPH!$D$16:$D$31&gt;AVERAGE(B14,C14),STPH!$D$16:$D$31)),STPH!$D$16:$D$31),1))</f>
        <v>+0</v>
      </c>
      <c r="G14" s="9" t="str">
        <f t="array" ref="G14">INDEX(STBI!$O$16:$O$41,IFERROR(MATCH(MIN(IF(STBI!$D$16:$D$41&gt;AVERAGE(B14,C14),STBI!$D$16:$D$41)),STBI!$D$16:$D$41),1))</f>
        <v>+I</v>
      </c>
      <c r="H14" s="9" t="str">
        <f t="array" ref="H14">INDEX(GEKB!$K$16:$K$35,IFERROR(MATCH(MIN(IF(GEKB!$D$16:$D$35&gt;AVERAGE(B14,C14),GEKB!$D$16:$D$35)),GEKB!$D$16:$D$35),1))</f>
        <v>+II</v>
      </c>
      <c r="I14" s="9" t="str">
        <f t="array" ref="I14">INDEX(DA!$K$16:$K$35,IFERROR(MATCH(MIN(IF(DA!$D$16:$D$35&gt;AVERAGE(B14,C14),DA!$D$16:$D$35)),DA!$D$16:$D$35),1))</f>
        <v>NR</v>
      </c>
      <c r="J14" s="9" t="str">
        <f t="array" ref="J14">INDEX(STKWp!$K$16:$K$67,IFERROR(MATCH(MIN(IF(STKWp!$D$16:$D$67&gt;AVERAGE(B14,C14),STKWp!$D$16:$D$67)),STKWp!$D$16:$D$67),1))</f>
        <v>NR</v>
      </c>
      <c r="K14" s="9" t="str">
        <f t="array" ref="K14">INDEX(BSKW!$K$16:$K$114,IFERROR(MATCH(MIN(IF(BSKW!$D$16:$D$114&gt;AVERAGE(B14,C14),BSKW!$D$16:$D$114)),BSKW!$D$16:$D$114),1))</f>
        <v>NR</v>
      </c>
      <c r="L14" s="12" t="str">
        <f t="array" ref="L14">INDEX(HTKW!$K$16:$K$91,IFERROR(MATCH(MIN(IF(HTKW!$D$16:$D$91&gt;AVERAGE(B14,C14),HTKW!$D$16:$D$91)),HTKW!$D$16:$D$91),1))</f>
        <v>NR</v>
      </c>
    </row>
    <row r="15" spans="2:12" x14ac:dyDescent="0.25">
      <c r="B15" s="8">
        <v>4.2000000000000011</v>
      </c>
      <c r="C15" s="9">
        <v>4.5500000000000007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INDEX(STPH!$O$16:$O$31,IFERROR(MATCH(MIN(IF(STPH!$D$16:$D$31&gt;AVERAGE(B15,C15),STPH!$D$16:$D$31)),STPH!$D$16:$D$31),1))</f>
        <v>+I</v>
      </c>
      <c r="G15" s="9" t="str">
        <f t="array" ref="G15">INDEX(STBI!$O$16:$O$41,IFERROR(MATCH(MIN(IF(STBI!$D$16:$D$41&gt;AVERAGE(B15,C15),STBI!$D$16:$D$41)),STBI!$D$16:$D$41),1))</f>
        <v>+III</v>
      </c>
      <c r="H15" s="9" t="str">
        <f t="array" ref="H15">INDEX(GEKB!$K$16:$K$35,IFERROR(MATCH(MIN(IF(GEKB!$D$16:$D$35&gt;AVERAGE(B15,C15),GEKB!$D$16:$D$35)),GEKB!$D$16:$D$35),1))</f>
        <v>+II</v>
      </c>
      <c r="I15" s="9" t="str">
        <f t="array" ref="I15">INDEX(DA!$K$16:$K$35,IFERROR(MATCH(MIN(IF(DA!$D$16:$D$35&gt;AVERAGE(B15,C15),DA!$D$16:$D$35)),DA!$D$16:$D$35),1))</f>
        <v>NR</v>
      </c>
      <c r="J15" s="9" t="str">
        <f t="array" ref="J15">INDEX(STKWp!$K$16:$K$67,IFERROR(MATCH(MIN(IF(STKWp!$D$16:$D$67&gt;AVERAGE(B15,C15),STKWp!$D$16:$D$67)),STKWp!$D$16:$D$67),1))</f>
        <v>NR</v>
      </c>
      <c r="K15" s="9" t="str">
        <f t="array" ref="K15">INDEX(BSKW!$K$16:$K$114,IFERROR(MATCH(MIN(IF(BSKW!$D$16:$D$114&gt;AVERAGE(B15,C15),BSKW!$D$16:$D$114)),BSKW!$D$16:$D$114),1))</f>
        <v>NR</v>
      </c>
      <c r="L15" s="12" t="str">
        <f t="array" ref="L15">INDEX(HTKW!$K$16:$K$91,IFERROR(MATCH(MIN(IF(HTKW!$D$16:$D$91&gt;AVERAGE(B15,C15),HTKW!$D$16:$D$91)),HTKW!$D$16:$D$91),1))</f>
        <v>NR</v>
      </c>
    </row>
    <row r="16" spans="2:12" x14ac:dyDescent="0.25">
      <c r="B16" s="8">
        <v>4.5500000000000007</v>
      </c>
      <c r="C16" s="9">
        <v>5.6</v>
      </c>
      <c r="D16" s="23" t="str">
        <f t="shared" si="0"/>
        <v>+I</v>
      </c>
      <c r="E16" s="23" t="str">
        <f t="shared" si="1"/>
        <v>+I</v>
      </c>
      <c r="F16" s="9" t="str">
        <f t="array" ref="F16">INDEX(STPH!$O$16:$O$31,IFERROR(MATCH(MIN(IF(STPH!$D$16:$D$31&gt;AVERAGE(B16,C16),STPH!$D$16:$D$31)),STPH!$D$16:$D$31),1))</f>
        <v>+I</v>
      </c>
      <c r="G16" s="9" t="str">
        <f t="array" ref="G16">INDEX(STBI!$O$16:$O$41,IFERROR(MATCH(MIN(IF(STBI!$D$16:$D$41&gt;AVERAGE(B16,C16),STBI!$D$16:$D$41)),STBI!$D$16:$D$41),1))</f>
        <v>+III</v>
      </c>
      <c r="H16" s="9" t="str">
        <f t="array" ref="H16">INDEX(GEKB!$K$16:$K$35,IFERROR(MATCH(MIN(IF(GEKB!$D$16:$D$35&gt;AVERAGE(B16,C16),GEKB!$D$16:$D$35)),GEKB!$D$16:$D$35),1))</f>
        <v>+II</v>
      </c>
      <c r="I16" s="9" t="str">
        <f t="array" ref="I16">INDEX(DA!$K$16:$K$35,IFERROR(MATCH(MIN(IF(DA!$D$16:$D$35&gt;AVERAGE(B16,C16),DA!$D$16:$D$35)),DA!$D$16:$D$35),1))</f>
        <v>NR</v>
      </c>
      <c r="J16" s="9" t="str">
        <f t="array" ref="J16">INDEX(STKWp!$K$16:$K$67,IFERROR(MATCH(MIN(IF(STKWp!$D$16:$D$67&gt;AVERAGE(B16,C16),STKWp!$D$16:$D$67)),STKWp!$D$16:$D$67),1))</f>
        <v>NR</v>
      </c>
      <c r="K16" s="9" t="str">
        <f t="array" ref="K16">INDEX(BSKW!$K$16:$K$114,IFERROR(MATCH(MIN(IF(BSKW!$D$16:$D$114&gt;AVERAGE(B16,C16),BSKW!$D$16:$D$114)),BSKW!$D$16:$D$114),1))</f>
        <v>NR</v>
      </c>
      <c r="L16" s="12" t="str">
        <f t="array" ref="L16">INDEX(HTKW!$K$16:$K$91,IFERROR(MATCH(MIN(IF(HTKW!$D$16:$D$91&gt;AVERAGE(B16,C16),HTKW!$D$16:$D$91)),HTKW!$D$16:$D$91),1))</f>
        <v>NR</v>
      </c>
    </row>
    <row r="17" spans="2:12" x14ac:dyDescent="0.25">
      <c r="B17" s="8">
        <v>5.6</v>
      </c>
      <c r="C17" s="9">
        <v>5.9</v>
      </c>
      <c r="D17" s="23" t="str">
        <f t="shared" si="0"/>
        <v>+I</v>
      </c>
      <c r="E17" s="23" t="str">
        <f t="shared" si="1"/>
        <v>+I</v>
      </c>
      <c r="F17" s="9" t="str">
        <f t="array" ref="F17">INDEX(STPH!$O$16:$O$31,IFERROR(MATCH(MIN(IF(STPH!$D$16:$D$31&gt;AVERAGE(B17,C17),STPH!$D$16:$D$31)),STPH!$D$16:$D$31),1))</f>
        <v>+I</v>
      </c>
      <c r="G17" s="9" t="str">
        <f t="array" ref="G17">INDEX(STBI!$O$16:$O$41,IFERROR(MATCH(MIN(IF(STBI!$D$16:$D$41&gt;AVERAGE(B17,C17),STBI!$D$16:$D$41)),STBI!$D$16:$D$41),1))</f>
        <v>+III</v>
      </c>
      <c r="H17" s="9" t="str">
        <f t="array" ref="H17">INDEX(GEKB!$K$16:$K$35,IFERROR(MATCH(MIN(IF(GEKB!$D$16:$D$35&gt;AVERAGE(B17,C17),GEKB!$D$16:$D$35)),GEKB!$D$16:$D$35),1))</f>
        <v>+II</v>
      </c>
      <c r="I17" s="9" t="str">
        <f t="array" ref="I17">INDEX(DA!$K$16:$K$35,IFERROR(MATCH(MIN(IF(DA!$D$16:$D$35&gt;AVERAGE(B17,C17),DA!$D$16:$D$35)),DA!$D$16:$D$35),1))</f>
        <v>NR</v>
      </c>
      <c r="J17" s="9" t="str">
        <f t="array" ref="J17">INDEX(STKWp!$K$16:$K$67,IFERROR(MATCH(MIN(IF(STKWp!$D$16:$D$67&gt;AVERAGE(B17,C17),STKWp!$D$16:$D$67)),STKWp!$D$16:$D$67),1))</f>
        <v>NR</v>
      </c>
      <c r="K17" s="9" t="str">
        <f t="array" ref="K17">INDEX(BSKW!$K$16:$K$114,IFERROR(MATCH(MIN(IF(BSKW!$D$16:$D$114&gt;AVERAGE(B17,C17),BSKW!$D$16:$D$114)),BSKW!$D$16:$D$114),1))</f>
        <v>NR</v>
      </c>
      <c r="L17" s="12" t="str">
        <f t="array" ref="L17">INDEX(HTKW!$K$16:$K$91,IFERROR(MATCH(MIN(IF(HTKW!$D$16:$D$91&gt;AVERAGE(B17,C17),HTKW!$D$16:$D$91)),HTKW!$D$16:$D$91),1))</f>
        <v>NR</v>
      </c>
    </row>
    <row r="18" spans="2:12" x14ac:dyDescent="0.25">
      <c r="B18" s="8">
        <v>5.9</v>
      </c>
      <c r="C18" s="9">
        <v>5.91</v>
      </c>
      <c r="D18" s="23" t="str">
        <f t="shared" si="0"/>
        <v>+I</v>
      </c>
      <c r="E18" s="23" t="str">
        <f t="shared" si="1"/>
        <v>+I</v>
      </c>
      <c r="F18" s="9" t="str">
        <f t="array" ref="F18">INDEX(STPH!$O$16:$O$31,IFERROR(MATCH(MIN(IF(STPH!$D$16:$D$31&gt;AVERAGE(B18,C18),STPH!$D$16:$D$31)),STPH!$D$16:$D$31),1))</f>
        <v>+I</v>
      </c>
      <c r="G18" s="9" t="str">
        <f t="array" ref="G18">INDEX(STBI!$O$16:$O$41,IFERROR(MATCH(MIN(IF(STBI!$D$16:$D$41&gt;AVERAGE(B18,C18),STBI!$D$16:$D$41)),STBI!$D$16:$D$41),1))</f>
        <v>+III</v>
      </c>
      <c r="H18" s="9" t="str">
        <f t="array" ref="H18">INDEX(GEKB!$K$16:$K$35,IFERROR(MATCH(MIN(IF(GEKB!$D$16:$D$35&gt;AVERAGE(B18,C18),GEKB!$D$16:$D$35)),GEKB!$D$16:$D$35),1))</f>
        <v>+II</v>
      </c>
      <c r="I18" s="9" t="str">
        <f t="array" ref="I18">INDEX(DA!$K$16:$K$35,IFERROR(MATCH(MIN(IF(DA!$D$16:$D$35&gt;AVERAGE(B18,C18),DA!$D$16:$D$35)),DA!$D$16:$D$35),1))</f>
        <v>NR</v>
      </c>
      <c r="J18" s="9" t="str">
        <f t="array" ref="J18">INDEX(STKWp!$K$16:$K$67,IFERROR(MATCH(MIN(IF(STKWp!$D$16:$D$67&gt;AVERAGE(B18,C18),STKWp!$D$16:$D$67)),STKWp!$D$16:$D$67),1))</f>
        <v>+II</v>
      </c>
      <c r="K18" s="9" t="str">
        <f t="array" ref="K18">INDEX(BSKW!$K$16:$K$114,IFERROR(MATCH(MIN(IF(BSKW!$D$16:$D$114&gt;AVERAGE(B18,C18),BSKW!$D$16:$D$114)),BSKW!$D$16:$D$114),1))</f>
        <v>+II</v>
      </c>
      <c r="L18" s="12" t="str">
        <f t="array" ref="L18">INDEX(HTKW!$K$16:$K$91,IFERROR(MATCH(MIN(IF(HTKW!$D$16:$D$91&gt;AVERAGE(B18,C18),HTKW!$D$16:$D$91)),HTKW!$D$16:$D$91),1))</f>
        <v>+II</v>
      </c>
    </row>
    <row r="19" spans="2:12" x14ac:dyDescent="0.25">
      <c r="B19" s="8">
        <v>5.91</v>
      </c>
      <c r="C19" s="9">
        <v>6.2000000000000011</v>
      </c>
      <c r="D19" s="23" t="str">
        <f t="shared" si="0"/>
        <v>+I</v>
      </c>
      <c r="E19" s="23" t="str">
        <f t="shared" si="1"/>
        <v>+I</v>
      </c>
      <c r="F19" s="9" t="str">
        <f t="array" ref="F19">INDEX(STPH!$O$16:$O$31,IFERROR(MATCH(MIN(IF(STPH!$D$16:$D$31&gt;AVERAGE(B19,C19),STPH!$D$16:$D$31)),STPH!$D$16:$D$31),1))</f>
        <v>+I</v>
      </c>
      <c r="G19" s="9" t="str">
        <f t="array" ref="G19">INDEX(STBI!$O$16:$O$41,IFERROR(MATCH(MIN(IF(STBI!$D$16:$D$41&gt;AVERAGE(B19,C19),STBI!$D$16:$D$41)),STBI!$D$16:$D$41),1))</f>
        <v>+III</v>
      </c>
      <c r="H19" s="9" t="str">
        <f t="array" ref="H19">INDEX(GEKB!$K$16:$K$35,IFERROR(MATCH(MIN(IF(GEKB!$D$16:$D$35&gt;AVERAGE(B19,C19),GEKB!$D$16:$D$35)),GEKB!$D$16:$D$35),1))</f>
        <v>+II</v>
      </c>
      <c r="I19" s="9" t="str">
        <f t="array" ref="I19">INDEX(DA!$K$16:$K$35,IFERROR(MATCH(MIN(IF(DA!$D$16:$D$35&gt;AVERAGE(B19,C19),DA!$D$16:$D$35)),DA!$D$16:$D$35),1))</f>
        <v>NR</v>
      </c>
      <c r="J19" s="9" t="str">
        <f t="array" ref="J19">INDEX(STKWp!$K$16:$K$67,IFERROR(MATCH(MIN(IF(STKWp!$D$16:$D$67&gt;AVERAGE(B19,C19),STKWp!$D$16:$D$67)),STKWp!$D$16:$D$67),1))</f>
        <v>NR</v>
      </c>
      <c r="K19" s="9" t="str">
        <f t="array" ref="K19">INDEX(BSKW!$K$16:$K$114,IFERROR(MATCH(MIN(IF(BSKW!$D$16:$D$114&gt;AVERAGE(B19,C19),BSKW!$D$16:$D$114)),BSKW!$D$16:$D$114),1))</f>
        <v>NR</v>
      </c>
      <c r="L19" s="12" t="str">
        <f t="array" ref="L19">INDEX(HTKW!$K$16:$K$91,IFERROR(MATCH(MIN(IF(HTKW!$D$16:$D$91&gt;AVERAGE(B19,C19),HTKW!$D$16:$D$91)),HTKW!$D$16:$D$91),1))</f>
        <v>NR</v>
      </c>
    </row>
    <row r="20" spans="2:12" x14ac:dyDescent="0.25">
      <c r="B20" s="8">
        <v>6.2000000000000011</v>
      </c>
      <c r="C20" s="9">
        <v>6.7</v>
      </c>
      <c r="D20" s="23" t="str">
        <f t="shared" si="0"/>
        <v>+II</v>
      </c>
      <c r="E20" s="23" t="str">
        <f t="shared" si="1"/>
        <v>+II</v>
      </c>
      <c r="F20" s="9" t="str">
        <f t="array" ref="F20">INDEX(STPH!$O$16:$O$31,IFERROR(MATCH(MIN(IF(STPH!$D$16:$D$31&gt;AVERAGE(B20,C20),STPH!$D$16:$D$31)),STPH!$D$16:$D$31),1))</f>
        <v>+III</v>
      </c>
      <c r="G20" s="9" t="str">
        <f t="array" ref="G20">INDEX(STBI!$O$16:$O$41,IFERROR(MATCH(MIN(IF(STBI!$D$16:$D$41&gt;AVERAGE(B20,C20),STBI!$D$16:$D$41)),STBI!$D$16:$D$41),1))</f>
        <v>+III</v>
      </c>
      <c r="H20" s="9" t="str">
        <f t="array" ref="H20">INDEX(GEKB!$K$16:$K$35,IFERROR(MATCH(MIN(IF(GEKB!$D$16:$D$35&gt;AVERAGE(B20,C20),GEKB!$D$16:$D$35)),GEKB!$D$16:$D$35),1))</f>
        <v>+II</v>
      </c>
      <c r="I20" s="9" t="str">
        <f t="array" ref="I20">INDEX(DA!$K$16:$K$35,IFERROR(MATCH(MIN(IF(DA!$D$16:$D$35&gt;AVERAGE(B20,C20),DA!$D$16:$D$35)),DA!$D$16:$D$35),1))</f>
        <v>NR</v>
      </c>
      <c r="J20" s="9" t="str">
        <f t="array" ref="J20">INDEX(STKWp!$K$16:$K$67,IFERROR(MATCH(MIN(IF(STKWp!$D$16:$D$67&gt;AVERAGE(B20,C20),STKWp!$D$16:$D$67)),STKWp!$D$16:$D$67),1))</f>
        <v>NR</v>
      </c>
      <c r="K20" s="9" t="str">
        <f t="array" ref="K20">INDEX(BSKW!$K$16:$K$114,IFERROR(MATCH(MIN(IF(BSKW!$D$16:$D$114&gt;AVERAGE(B20,C20),BSKW!$D$16:$D$114)),BSKW!$D$16:$D$114),1))</f>
        <v>NR</v>
      </c>
      <c r="L20" s="12" t="str">
        <f t="array" ref="L20">INDEX(HTKW!$K$16:$K$91,IFERROR(MATCH(MIN(IF(HTKW!$D$16:$D$91&gt;AVERAGE(B20,C20),HTKW!$D$16:$D$91)),HTKW!$D$16:$D$91),1))</f>
        <v>NR</v>
      </c>
    </row>
    <row r="21" spans="2:12" x14ac:dyDescent="0.25">
      <c r="B21" s="8">
        <v>6.7</v>
      </c>
      <c r="C21" s="9">
        <v>6.71</v>
      </c>
      <c r="D21" s="23" t="str">
        <f t="shared" si="0"/>
        <v>+II</v>
      </c>
      <c r="E21" s="23" t="str">
        <f t="shared" si="1"/>
        <v>+II</v>
      </c>
      <c r="F21" s="9" t="str">
        <f t="array" ref="F21">INDEX(STPH!$O$16:$O$31,IFERROR(MATCH(MIN(IF(STPH!$D$16:$D$31&gt;AVERAGE(B21,C21),STPH!$D$16:$D$31)),STPH!$D$16:$D$31),1))</f>
        <v>+III</v>
      </c>
      <c r="G21" s="9" t="str">
        <f t="array" ref="G21">INDEX(STBI!$O$16:$O$41,IFERROR(MATCH(MIN(IF(STBI!$D$16:$D$41&gt;AVERAGE(B21,C21),STBI!$D$16:$D$41)),STBI!$D$16:$D$41),1))</f>
        <v>+III</v>
      </c>
      <c r="H21" s="9" t="str">
        <f t="array" ref="H21">INDEX(GEKB!$K$16:$K$35,IFERROR(MATCH(MIN(IF(GEKB!$D$16:$D$35&gt;AVERAGE(B21,C21),GEKB!$D$16:$D$35)),GEKB!$D$16:$D$35),1))</f>
        <v>+II</v>
      </c>
      <c r="I21" s="9" t="str">
        <f t="array" ref="I21">INDEX(DA!$K$16:$K$35,IFERROR(MATCH(MIN(IF(DA!$D$16:$D$35&gt;AVERAGE(B21,C21),DA!$D$16:$D$35)),DA!$D$16:$D$35),1))</f>
        <v>NR</v>
      </c>
      <c r="J21" s="9" t="str">
        <f t="array" ref="J21">INDEX(STKWp!$K$16:$K$67,IFERROR(MATCH(MIN(IF(STKWp!$D$16:$D$67&gt;AVERAGE(B21,C21),STKWp!$D$16:$D$67)),STKWp!$D$16:$D$67),1))</f>
        <v>+II</v>
      </c>
      <c r="K21" s="9" t="str">
        <f t="array" ref="K21">INDEX(BSKW!$K$16:$K$114,IFERROR(MATCH(MIN(IF(BSKW!$D$16:$D$114&gt;AVERAGE(B21,C21),BSKW!$D$16:$D$114)),BSKW!$D$16:$D$114),1))</f>
        <v>+II</v>
      </c>
      <c r="L21" s="12" t="str">
        <f t="array" ref="L21">INDEX(HTKW!$K$16:$K$91,IFERROR(MATCH(MIN(IF(HTKW!$D$16:$D$91&gt;AVERAGE(B21,C21),HTKW!$D$16:$D$91)),HTKW!$D$16:$D$91),1))</f>
        <v>+II</v>
      </c>
    </row>
    <row r="22" spans="2:12" x14ac:dyDescent="0.25">
      <c r="B22" s="8">
        <v>6.71</v>
      </c>
      <c r="C22" s="9">
        <v>7.1</v>
      </c>
      <c r="D22" s="23" t="str">
        <f t="shared" si="0"/>
        <v>+II</v>
      </c>
      <c r="E22" s="23" t="str">
        <f t="shared" si="1"/>
        <v>+II</v>
      </c>
      <c r="F22" s="9" t="str">
        <f t="array" ref="F22">INDEX(STPH!$O$16:$O$31,IFERROR(MATCH(MIN(IF(STPH!$D$16:$D$31&gt;AVERAGE(B22,C22),STPH!$D$16:$D$31)),STPH!$D$16:$D$31),1))</f>
        <v>+III</v>
      </c>
      <c r="G22" s="9" t="str">
        <f t="array" ref="G22">INDEX(STBI!$O$16:$O$41,IFERROR(MATCH(MIN(IF(STBI!$D$16:$D$41&gt;AVERAGE(B22,C22),STBI!$D$16:$D$41)),STBI!$D$16:$D$41),1))</f>
        <v>+III</v>
      </c>
      <c r="H22" s="9" t="str">
        <f t="array" ref="H22">INDEX(GEKB!$K$16:$K$35,IFERROR(MATCH(MIN(IF(GEKB!$D$16:$D$35&gt;AVERAGE(B22,C22),GEKB!$D$16:$D$35)),GEKB!$D$16:$D$35),1))</f>
        <v>+II</v>
      </c>
      <c r="I22" s="9" t="str">
        <f t="array" ref="I22">INDEX(DA!$K$16:$K$35,IFERROR(MATCH(MIN(IF(DA!$D$16:$D$35&gt;AVERAGE(B22,C22),DA!$D$16:$D$35)),DA!$D$16:$D$35),1))</f>
        <v>NR</v>
      </c>
      <c r="J22" s="9" t="str">
        <f t="array" ref="J22">INDEX(STKWp!$K$16:$K$67,IFERROR(MATCH(MIN(IF(STKWp!$D$16:$D$67&gt;AVERAGE(B22,C22),STKWp!$D$16:$D$67)),STKWp!$D$16:$D$67),1))</f>
        <v>NR</v>
      </c>
      <c r="K22" s="9" t="str">
        <f t="array" ref="K22">INDEX(BSKW!$K$16:$K$114,IFERROR(MATCH(MIN(IF(BSKW!$D$16:$D$114&gt;AVERAGE(B22,C22),BSKW!$D$16:$D$114)),BSKW!$D$16:$D$114),1))</f>
        <v>NR</v>
      </c>
      <c r="L22" s="12" t="str">
        <f t="array" ref="L22">INDEX(HTKW!$K$16:$K$91,IFERROR(MATCH(MIN(IF(HTKW!$D$16:$D$91&gt;AVERAGE(B22,C22),HTKW!$D$16:$D$91)),HTKW!$D$16:$D$91),1))</f>
        <v>NR</v>
      </c>
    </row>
    <row r="23" spans="2:12" x14ac:dyDescent="0.25">
      <c r="B23" s="8">
        <v>7.1</v>
      </c>
      <c r="C23" s="9">
        <v>7.11</v>
      </c>
      <c r="D23" s="23" t="str">
        <f t="shared" si="0"/>
        <v>+II</v>
      </c>
      <c r="E23" s="23" t="str">
        <f t="shared" si="1"/>
        <v>+II</v>
      </c>
      <c r="F23" s="9" t="str">
        <f t="array" ref="F23">INDEX(STPH!$O$16:$O$31,IFERROR(MATCH(MIN(IF(STPH!$D$16:$D$31&gt;AVERAGE(B23,C23),STPH!$D$16:$D$31)),STPH!$D$16:$D$31),1))</f>
        <v>+III</v>
      </c>
      <c r="G23" s="9" t="str">
        <f t="array" ref="G23">INDEX(STBI!$O$16:$O$41,IFERROR(MATCH(MIN(IF(STBI!$D$16:$D$41&gt;AVERAGE(B23,C23),STBI!$D$16:$D$41)),STBI!$D$16:$D$41),1))</f>
        <v>+III</v>
      </c>
      <c r="H23" s="9" t="str">
        <f t="array" ref="H23">INDEX(GEKB!$K$16:$K$35,IFERROR(MATCH(MIN(IF(GEKB!$D$16:$D$35&gt;AVERAGE(B23,C23),GEKB!$D$16:$D$35)),GEKB!$D$16:$D$35),1))</f>
        <v>+II</v>
      </c>
      <c r="I23" s="9" t="str">
        <f t="array" ref="I23">INDEX(DA!$K$16:$K$35,IFERROR(MATCH(MIN(IF(DA!$D$16:$D$35&gt;AVERAGE(B23,C23),DA!$D$16:$D$35)),DA!$D$16:$D$35),1))</f>
        <v>NR</v>
      </c>
      <c r="J23" s="9" t="str">
        <f t="array" ref="J23">INDEX(STKWp!$K$16:$K$67,IFERROR(MATCH(MIN(IF(STKWp!$D$16:$D$67&gt;AVERAGE(B23,C23),STKWp!$D$16:$D$67)),STKWp!$D$16:$D$67),1))</f>
        <v>+II</v>
      </c>
      <c r="K23" s="9" t="str">
        <f t="array" ref="K23">INDEX(BSKW!$K$16:$K$114,IFERROR(MATCH(MIN(IF(BSKW!$D$16:$D$114&gt;AVERAGE(B23,C23),BSKW!$D$16:$D$114)),BSKW!$D$16:$D$114),1))</f>
        <v>+II</v>
      </c>
      <c r="L23" s="12" t="str">
        <f t="array" ref="L23">INDEX(HTKW!$K$16:$K$91,IFERROR(MATCH(MIN(IF(HTKW!$D$16:$D$91&gt;AVERAGE(B23,C23),HTKW!$D$16:$D$91)),HTKW!$D$16:$D$91),1))</f>
        <v>+II</v>
      </c>
    </row>
    <row r="24" spans="2:12" x14ac:dyDescent="0.25">
      <c r="B24" s="8">
        <v>7.11</v>
      </c>
      <c r="C24" s="9">
        <v>7.35</v>
      </c>
      <c r="D24" s="23" t="str">
        <f t="shared" si="0"/>
        <v>+II</v>
      </c>
      <c r="E24" s="23" t="str">
        <f t="shared" si="1"/>
        <v>+II</v>
      </c>
      <c r="F24" s="9" t="str">
        <f t="array" ref="F24">INDEX(STPH!$O$16:$O$31,IFERROR(MATCH(MIN(IF(STPH!$D$16:$D$31&gt;AVERAGE(B24,C24),STPH!$D$16:$D$31)),STPH!$D$16:$D$31),1))</f>
        <v>+III</v>
      </c>
      <c r="G24" s="9" t="str">
        <f t="array" ref="G24">INDEX(STBI!$O$16:$O$41,IFERROR(MATCH(MIN(IF(STBI!$D$16:$D$41&gt;AVERAGE(B24,C24),STBI!$D$16:$D$41)),STBI!$D$16:$D$41),1))</f>
        <v>+III</v>
      </c>
      <c r="H24" s="9" t="str">
        <f t="array" ref="H24">INDEX(GEKB!$K$16:$K$35,IFERROR(MATCH(MIN(IF(GEKB!$D$16:$D$35&gt;AVERAGE(B24,C24),GEKB!$D$16:$D$35)),GEKB!$D$16:$D$35),1))</f>
        <v>+II</v>
      </c>
      <c r="I24" s="9" t="str">
        <f t="array" ref="I24">INDEX(DA!$K$16:$K$35,IFERROR(MATCH(MIN(IF(DA!$D$16:$D$35&gt;AVERAGE(B24,C24),DA!$D$16:$D$35)),DA!$D$16:$D$35),1))</f>
        <v>NR</v>
      </c>
      <c r="J24" s="9" t="str">
        <f t="array" ref="J24">INDEX(STKWp!$K$16:$K$67,IFERROR(MATCH(MIN(IF(STKWp!$D$16:$D$67&gt;AVERAGE(B24,C24),STKWp!$D$16:$D$67)),STKWp!$D$16:$D$67),1))</f>
        <v>NR</v>
      </c>
      <c r="K24" s="9" t="str">
        <f t="array" ref="K24">INDEX(BSKW!$K$16:$K$114,IFERROR(MATCH(MIN(IF(BSKW!$D$16:$D$114&gt;AVERAGE(B24,C24),BSKW!$D$16:$D$114)),BSKW!$D$16:$D$114),1))</f>
        <v>NR</v>
      </c>
      <c r="L24" s="12" t="str">
        <f t="array" ref="L24">INDEX(HTKW!$K$16:$K$91,IFERROR(MATCH(MIN(IF(HTKW!$D$16:$D$91&gt;AVERAGE(B24,C24),HTKW!$D$16:$D$91)),HTKW!$D$16:$D$91),1))</f>
        <v>NR</v>
      </c>
    </row>
    <row r="25" spans="2:12" x14ac:dyDescent="0.25">
      <c r="B25" s="8">
        <v>7.35</v>
      </c>
      <c r="C25" s="9">
        <v>7.7</v>
      </c>
      <c r="D25" s="23" t="str">
        <f t="shared" si="0"/>
        <v>+I</v>
      </c>
      <c r="E25" s="23" t="str">
        <f t="shared" si="1"/>
        <v>+I</v>
      </c>
      <c r="F25" s="9" t="str">
        <f t="array" ref="F25">INDEX(STPH!$O$16:$O$31,IFERROR(MATCH(MIN(IF(STPH!$D$16:$D$31&gt;AVERAGE(B25,C25),STPH!$D$16:$D$31)),STPH!$D$16:$D$31),1))</f>
        <v>+I</v>
      </c>
      <c r="G25" s="9" t="str">
        <f t="array" ref="G25">INDEX(STBI!$O$16:$O$41,IFERROR(MATCH(MIN(IF(STBI!$D$16:$D$41&gt;AVERAGE(B25,C25),STBI!$D$16:$D$41)),STBI!$D$16:$D$41),1))</f>
        <v>+II</v>
      </c>
      <c r="H25" s="9" t="str">
        <f t="array" ref="H25">INDEX(GEKB!$K$16:$K$35,IFERROR(MATCH(MIN(IF(GEKB!$D$16:$D$35&gt;AVERAGE(B25,C25),GEKB!$D$16:$D$35)),GEKB!$D$16:$D$35),1))</f>
        <v>+II</v>
      </c>
      <c r="I25" s="9" t="str">
        <f t="array" ref="I25">INDEX(DA!$K$16:$K$35,IFERROR(MATCH(MIN(IF(DA!$D$16:$D$35&gt;AVERAGE(B25,C25),DA!$D$16:$D$35)),DA!$D$16:$D$35),1))</f>
        <v>NR</v>
      </c>
      <c r="J25" s="9" t="str">
        <f t="array" ref="J25">INDEX(STKWp!$K$16:$K$67,IFERROR(MATCH(MIN(IF(STKWp!$D$16:$D$67&gt;AVERAGE(B25,C25),STKWp!$D$16:$D$67)),STKWp!$D$16:$D$67),1))</f>
        <v>NR</v>
      </c>
      <c r="K25" s="9" t="str">
        <f t="array" ref="K25">INDEX(BSKW!$K$16:$K$114,IFERROR(MATCH(MIN(IF(BSKW!$D$16:$D$114&gt;AVERAGE(B25,C25),BSKW!$D$16:$D$114)),BSKW!$D$16:$D$114),1))</f>
        <v>NR</v>
      </c>
      <c r="L25" s="12" t="str">
        <f t="array" ref="L25">INDEX(HTKW!$K$16:$K$91,IFERROR(MATCH(MIN(IF(HTKW!$D$16:$D$91&gt;AVERAGE(B25,C25),HTKW!$D$16:$D$91)),HTKW!$D$16:$D$91),1))</f>
        <v>NR</v>
      </c>
    </row>
    <row r="26" spans="2:12" x14ac:dyDescent="0.25">
      <c r="B26" s="8">
        <v>7.7</v>
      </c>
      <c r="C26" s="9">
        <v>7.71</v>
      </c>
      <c r="D26" s="23" t="str">
        <f t="shared" si="0"/>
        <v>+I</v>
      </c>
      <c r="E26" s="23" t="str">
        <f t="shared" si="1"/>
        <v>+I</v>
      </c>
      <c r="F26" s="9" t="str">
        <f t="array" ref="F26">INDEX(STPH!$O$16:$O$31,IFERROR(MATCH(MIN(IF(STPH!$D$16:$D$31&gt;AVERAGE(B26,C26),STPH!$D$16:$D$31)),STPH!$D$16:$D$31),1))</f>
        <v>+I</v>
      </c>
      <c r="G26" s="9" t="str">
        <f t="array" ref="G26">INDEX(STBI!$O$16:$O$41,IFERROR(MATCH(MIN(IF(STBI!$D$16:$D$41&gt;AVERAGE(B26,C26),STBI!$D$16:$D$41)),STBI!$D$16:$D$41),1))</f>
        <v>+II</v>
      </c>
      <c r="H26" s="9" t="str">
        <f t="array" ref="H26">INDEX(GEKB!$K$16:$K$35,IFERROR(MATCH(MIN(IF(GEKB!$D$16:$D$35&gt;AVERAGE(B26,C26),GEKB!$D$16:$D$35)),GEKB!$D$16:$D$35),1))</f>
        <v>+II</v>
      </c>
      <c r="I26" s="9" t="str">
        <f t="array" ref="I26">INDEX(DA!$K$16:$K$35,IFERROR(MATCH(MIN(IF(DA!$D$16:$D$35&gt;AVERAGE(B26,C26),DA!$D$16:$D$35)),DA!$D$16:$D$35),1))</f>
        <v>NR</v>
      </c>
      <c r="J26" s="9" t="str">
        <f t="array" ref="J26">INDEX(STKWp!$K$16:$K$67,IFERROR(MATCH(MIN(IF(STKWp!$D$16:$D$67&gt;AVERAGE(B26,C26),STKWp!$D$16:$D$67)),STKWp!$D$16:$D$67),1))</f>
        <v>+II</v>
      </c>
      <c r="K26" s="9" t="str">
        <f t="array" ref="K26">INDEX(BSKW!$K$16:$K$114,IFERROR(MATCH(MIN(IF(BSKW!$D$16:$D$114&gt;AVERAGE(B26,C26),BSKW!$D$16:$D$114)),BSKW!$D$16:$D$114),1))</f>
        <v>+II</v>
      </c>
      <c r="L26" s="12" t="str">
        <f t="array" ref="L26">INDEX(HTKW!$K$16:$K$91,IFERROR(MATCH(MIN(IF(HTKW!$D$16:$D$91&gt;AVERAGE(B26,C26),HTKW!$D$16:$D$91)),HTKW!$D$16:$D$91),1))</f>
        <v>+II</v>
      </c>
    </row>
    <row r="27" spans="2:12" x14ac:dyDescent="0.25">
      <c r="B27" s="8">
        <v>7.71</v>
      </c>
      <c r="C27" s="9">
        <v>8.25</v>
      </c>
      <c r="D27" s="23" t="str">
        <f t="shared" si="0"/>
        <v>+I</v>
      </c>
      <c r="E27" s="23" t="str">
        <f t="shared" si="1"/>
        <v>+I</v>
      </c>
      <c r="F27" s="9" t="str">
        <f t="array" ref="F27">INDEX(STPH!$O$16:$O$31,IFERROR(MATCH(MIN(IF(STPH!$D$16:$D$31&gt;AVERAGE(B27,C27),STPH!$D$16:$D$31)),STPH!$D$16:$D$31),1))</f>
        <v>+I</v>
      </c>
      <c r="G27" s="9" t="str">
        <f t="array" ref="G27">INDEX(STBI!$O$16:$O$41,IFERROR(MATCH(MIN(IF(STBI!$D$16:$D$41&gt;AVERAGE(B27,C27),STBI!$D$16:$D$41)),STBI!$D$16:$D$41),1))</f>
        <v>+II</v>
      </c>
      <c r="H27" s="9" t="str">
        <f t="array" ref="H27">INDEX(GEKB!$K$16:$K$35,IFERROR(MATCH(MIN(IF(GEKB!$D$16:$D$35&gt;AVERAGE(B27,C27),GEKB!$D$16:$D$35)),GEKB!$D$16:$D$35),1))</f>
        <v>+II</v>
      </c>
      <c r="I27" s="9" t="str">
        <f t="array" ref="I27">INDEX(DA!$K$16:$K$35,IFERROR(MATCH(MIN(IF(DA!$D$16:$D$35&gt;AVERAGE(B27,C27),DA!$D$16:$D$35)),DA!$D$16:$D$35),1))</f>
        <v>NR</v>
      </c>
      <c r="J27" s="9" t="str">
        <f t="array" ref="J27">INDEX(STKWp!$K$16:$K$67,IFERROR(MATCH(MIN(IF(STKWp!$D$16:$D$67&gt;AVERAGE(B27,C27),STKWp!$D$16:$D$67)),STKWp!$D$16:$D$67),1))</f>
        <v>NR</v>
      </c>
      <c r="K27" s="9" t="str">
        <f t="array" ref="K27">INDEX(BSKW!$K$16:$K$114,IFERROR(MATCH(MIN(IF(BSKW!$D$16:$D$114&gt;AVERAGE(B27,C27),BSKW!$D$16:$D$114)),BSKW!$D$16:$D$114),1))</f>
        <v>NR</v>
      </c>
      <c r="L27" s="12" t="str">
        <f t="array" ref="L27">INDEX(HTKW!$K$16:$K$91,IFERROR(MATCH(MIN(IF(HTKW!$D$16:$D$91&gt;AVERAGE(B27,C27),HTKW!$D$16:$D$91)),HTKW!$D$16:$D$91),1))</f>
        <v>NR</v>
      </c>
    </row>
    <row r="28" spans="2:12" x14ac:dyDescent="0.25">
      <c r="B28" s="8">
        <v>8.25</v>
      </c>
      <c r="C28" s="9">
        <v>8.26</v>
      </c>
      <c r="D28" s="23" t="str">
        <f t="shared" si="0"/>
        <v>+I</v>
      </c>
      <c r="E28" s="23" t="str">
        <f t="shared" si="1"/>
        <v>+I</v>
      </c>
      <c r="F28" s="9" t="str">
        <f t="array" ref="F28">INDEX(STPH!$O$16:$O$31,IFERROR(MATCH(MIN(IF(STPH!$D$16:$D$31&gt;AVERAGE(B28,C28),STPH!$D$16:$D$31)),STPH!$D$16:$D$31),1))</f>
        <v>+I</v>
      </c>
      <c r="G28" s="9" t="str">
        <f t="array" ref="G28">INDEX(STBI!$O$16:$O$41,IFERROR(MATCH(MIN(IF(STBI!$D$16:$D$41&gt;AVERAGE(B28,C28),STBI!$D$16:$D$41)),STBI!$D$16:$D$41),1))</f>
        <v>+II</v>
      </c>
      <c r="H28" s="9" t="str">
        <f t="array" ref="H28">INDEX(GEKB!$K$16:$K$35,IFERROR(MATCH(MIN(IF(GEKB!$D$16:$D$35&gt;AVERAGE(B28,C28),GEKB!$D$16:$D$35)),GEKB!$D$16:$D$35),1))</f>
        <v>+II</v>
      </c>
      <c r="I28" s="9" t="str">
        <f t="array" ref="I28">INDEX(DA!$K$16:$K$35,IFERROR(MATCH(MIN(IF(DA!$D$16:$D$35&gt;AVERAGE(B28,C28),DA!$D$16:$D$35)),DA!$D$16:$D$35),1))</f>
        <v>NR</v>
      </c>
      <c r="J28" s="9" t="str">
        <f t="array" ref="J28">INDEX(STKWp!$K$16:$K$67,IFERROR(MATCH(MIN(IF(STKWp!$D$16:$D$67&gt;AVERAGE(B28,C28),STKWp!$D$16:$D$67)),STKWp!$D$16:$D$67),1))</f>
        <v>+II</v>
      </c>
      <c r="K28" s="9" t="str">
        <f t="array" ref="K28">INDEX(BSKW!$K$16:$K$114,IFERROR(MATCH(MIN(IF(BSKW!$D$16:$D$114&gt;AVERAGE(B28,C28),BSKW!$D$16:$D$114)),BSKW!$D$16:$D$114),1))</f>
        <v>+II</v>
      </c>
      <c r="L28" s="12" t="str">
        <f t="array" ref="L28">INDEX(HTKW!$K$16:$K$91,IFERROR(MATCH(MIN(IF(HTKW!$D$16:$D$91&gt;AVERAGE(B28,C28),HTKW!$D$16:$D$91)),HTKW!$D$16:$D$91),1))</f>
        <v>+II</v>
      </c>
    </row>
    <row r="29" spans="2:12" x14ac:dyDescent="0.25">
      <c r="B29" s="8">
        <v>8.26</v>
      </c>
      <c r="C29" s="9">
        <v>9.1</v>
      </c>
      <c r="D29" s="23" t="str">
        <f t="shared" si="0"/>
        <v>+I</v>
      </c>
      <c r="E29" s="23" t="str">
        <f t="shared" si="1"/>
        <v>+I</v>
      </c>
      <c r="F29" s="9" t="str">
        <f t="array" ref="F29">INDEX(STPH!$O$16:$O$31,IFERROR(MATCH(MIN(IF(STPH!$D$16:$D$31&gt;AVERAGE(B29,C29),STPH!$D$16:$D$31)),STPH!$D$16:$D$31),1))</f>
        <v>+I</v>
      </c>
      <c r="G29" s="9" t="str">
        <f t="array" ref="G29">INDEX(STBI!$O$16:$O$41,IFERROR(MATCH(MIN(IF(STBI!$D$16:$D$41&gt;AVERAGE(B29,C29),STBI!$D$16:$D$41)),STBI!$D$16:$D$41),1))</f>
        <v>+II</v>
      </c>
      <c r="H29" s="9" t="str">
        <f t="array" ref="H29">INDEX(GEKB!$K$16:$K$35,IFERROR(MATCH(MIN(IF(GEKB!$D$16:$D$35&gt;AVERAGE(B29,C29),GEKB!$D$16:$D$35)),GEKB!$D$16:$D$35),1))</f>
        <v>+II</v>
      </c>
      <c r="I29" s="9" t="str">
        <f t="array" ref="I29">INDEX(DA!$K$16:$K$35,IFERROR(MATCH(MIN(IF(DA!$D$16:$D$35&gt;AVERAGE(B29,C29),DA!$D$16:$D$35)),DA!$D$16:$D$35),1))</f>
        <v>NR</v>
      </c>
      <c r="J29" s="9" t="str">
        <f t="array" ref="J29">INDEX(STKWp!$K$16:$K$67,IFERROR(MATCH(MIN(IF(STKWp!$D$16:$D$67&gt;AVERAGE(B29,C29),STKWp!$D$16:$D$67)),STKWp!$D$16:$D$67),1))</f>
        <v>NR</v>
      </c>
      <c r="K29" s="9" t="str">
        <f t="array" ref="K29">INDEX(BSKW!$K$16:$K$114,IFERROR(MATCH(MIN(IF(BSKW!$D$16:$D$114&gt;AVERAGE(B29,C29),BSKW!$D$16:$D$114)),BSKW!$D$16:$D$114),1))</f>
        <v>NR</v>
      </c>
      <c r="L29" s="12" t="str">
        <f t="array" ref="L29">INDEX(HTKW!$K$16:$K$91,IFERROR(MATCH(MIN(IF(HTKW!$D$16:$D$91&gt;AVERAGE(B29,C29),HTKW!$D$16:$D$91)),HTKW!$D$16:$D$91),1))</f>
        <v>NR</v>
      </c>
    </row>
    <row r="30" spans="2:12" x14ac:dyDescent="0.25">
      <c r="B30" s="8">
        <v>9.1</v>
      </c>
      <c r="C30" s="9">
        <v>9.4</v>
      </c>
      <c r="D30" s="23" t="str">
        <f t="shared" si="0"/>
        <v>+I</v>
      </c>
      <c r="E30" s="23" t="str">
        <f t="shared" si="1"/>
        <v>+I</v>
      </c>
      <c r="F30" s="9" t="str">
        <f t="array" ref="F30">INDEX(STPH!$O$16:$O$31,IFERROR(MATCH(MIN(IF(STPH!$D$16:$D$31&gt;AVERAGE(B30,C30),STPH!$D$16:$D$31)),STPH!$D$16:$D$31),1))</f>
        <v>+I</v>
      </c>
      <c r="G30" s="9" t="str">
        <f t="array" ref="G30">INDEX(STBI!$O$16:$O$41,IFERROR(MATCH(MIN(IF(STBI!$D$16:$D$41&gt;AVERAGE(B30,C30),STBI!$D$16:$D$41)),STBI!$D$16:$D$41),1))</f>
        <v>+II</v>
      </c>
      <c r="H30" s="9" t="str">
        <f t="array" ref="H30">INDEX(GEKB!$K$16:$K$35,IFERROR(MATCH(MIN(IF(GEKB!$D$16:$D$35&gt;AVERAGE(B30,C30),GEKB!$D$16:$D$35)),GEKB!$D$16:$D$35),1))</f>
        <v>+II</v>
      </c>
      <c r="I30" s="9" t="str">
        <f t="array" ref="I30">INDEX(DA!$K$16:$K$35,IFERROR(MATCH(MIN(IF(DA!$D$16:$D$35&gt;AVERAGE(B30,C30),DA!$D$16:$D$35)),DA!$D$16:$D$35),1))</f>
        <v>NR</v>
      </c>
      <c r="J30" s="9" t="str">
        <f t="array" ref="J30">INDEX(STKWp!$K$16:$K$67,IFERROR(MATCH(MIN(IF(STKWp!$D$16:$D$67&gt;AVERAGE(B30,C30),STKWp!$D$16:$D$67)),STKWp!$D$16:$D$67),1))</f>
        <v>NR</v>
      </c>
      <c r="K30" s="9" t="str">
        <f t="array" ref="K30">INDEX(BSKW!$K$16:$K$114,IFERROR(MATCH(MIN(IF(BSKW!$D$16:$D$114&gt;AVERAGE(B30,C30),BSKW!$D$16:$D$114)),BSKW!$D$16:$D$114),1))</f>
        <v>NR</v>
      </c>
      <c r="L30" s="12" t="str">
        <f t="array" ref="L30">INDEX(HTKW!$K$16:$K$91,IFERROR(MATCH(MIN(IF(HTKW!$D$16:$D$91&gt;AVERAGE(B30,C30),HTKW!$D$16:$D$91)),HTKW!$D$16:$D$91),1))</f>
        <v>NR</v>
      </c>
    </row>
    <row r="31" spans="2:12" x14ac:dyDescent="0.25">
      <c r="B31" s="8">
        <v>9.4</v>
      </c>
      <c r="C31" s="9">
        <v>10</v>
      </c>
      <c r="D31" s="23" t="str">
        <f t="shared" si="0"/>
        <v>+I</v>
      </c>
      <c r="E31" s="23" t="str">
        <f t="shared" si="1"/>
        <v>+I</v>
      </c>
      <c r="F31" s="9" t="str">
        <f t="array" ref="F31">INDEX(STPH!$O$16:$O$31,IFERROR(MATCH(MIN(IF(STPH!$D$16:$D$31&gt;AVERAGE(B31,C31),STPH!$D$16:$D$31)),STPH!$D$16:$D$31),1))</f>
        <v>+I</v>
      </c>
      <c r="G31" s="9" t="str">
        <f t="array" ref="G31">INDEX(STBI!$O$16:$O$41,IFERROR(MATCH(MIN(IF(STBI!$D$16:$D$41&gt;AVERAGE(B31,C31),STBI!$D$16:$D$41)),STBI!$D$16:$D$41),1))</f>
        <v>+I</v>
      </c>
      <c r="H31" s="9" t="str">
        <f t="array" ref="H31">INDEX(GEKB!$K$16:$K$35,IFERROR(MATCH(MIN(IF(GEKB!$D$16:$D$35&gt;AVERAGE(B31,C31),GEKB!$D$16:$D$35)),GEKB!$D$16:$D$35),1))</f>
        <v>+III</v>
      </c>
      <c r="I31" s="9" t="str">
        <f t="array" ref="I31">INDEX(DA!$K$16:$K$35,IFERROR(MATCH(MIN(IF(DA!$D$16:$D$35&gt;AVERAGE(B31,C31),DA!$D$16:$D$35)),DA!$D$16:$D$35),1))</f>
        <v>NR</v>
      </c>
      <c r="J31" s="9" t="str">
        <f t="array" ref="J31">INDEX(STKWp!$K$16:$K$67,IFERROR(MATCH(MIN(IF(STKWp!$D$16:$D$67&gt;AVERAGE(B31,C31),STKWp!$D$16:$D$67)),STKWp!$D$16:$D$67),1))</f>
        <v>NR</v>
      </c>
      <c r="K31" s="9" t="str">
        <f t="array" ref="K31">INDEX(BSKW!$K$16:$K$114,IFERROR(MATCH(MIN(IF(BSKW!$D$16:$D$114&gt;AVERAGE(B31,C31),BSKW!$D$16:$D$114)),BSKW!$D$16:$D$114),1))</f>
        <v>NR</v>
      </c>
      <c r="L31" s="12" t="str">
        <f t="array" ref="L31">INDEX(HTKW!$K$16:$K$91,IFERROR(MATCH(MIN(IF(HTKW!$D$16:$D$91&gt;AVERAGE(B31,C31),HTKW!$D$16:$D$91)),HTKW!$D$16:$D$91),1))</f>
        <v>NR</v>
      </c>
    </row>
    <row r="32" spans="2:12" x14ac:dyDescent="0.25">
      <c r="B32" s="8">
        <v>10</v>
      </c>
      <c r="C32" s="9">
        <v>10.01</v>
      </c>
      <c r="D32" s="23" t="str">
        <f t="shared" si="0"/>
        <v>+I</v>
      </c>
      <c r="E32" s="23" t="str">
        <f t="shared" si="1"/>
        <v>+I</v>
      </c>
      <c r="F32" s="9" t="str">
        <f t="array" ref="F32">INDEX(STPH!$O$16:$O$31,IFERROR(MATCH(MIN(IF(STPH!$D$16:$D$31&gt;AVERAGE(B32,C32),STPH!$D$16:$D$31)),STPH!$D$16:$D$31),1))</f>
        <v>+I</v>
      </c>
      <c r="G32" s="9" t="str">
        <f t="array" ref="G32">INDEX(STBI!$O$16:$O$41,IFERROR(MATCH(MIN(IF(STBI!$D$16:$D$41&gt;AVERAGE(B32,C32),STBI!$D$16:$D$41)),STBI!$D$16:$D$41),1))</f>
        <v>+I</v>
      </c>
      <c r="H32" s="9" t="str">
        <f t="array" ref="H32">INDEX(GEKB!$K$16:$K$35,IFERROR(MATCH(MIN(IF(GEKB!$D$16:$D$35&gt;AVERAGE(B32,C32),GEKB!$D$16:$D$35)),GEKB!$D$16:$D$35),1))</f>
        <v>+III</v>
      </c>
      <c r="I32" s="9" t="str">
        <f t="array" ref="I32">INDEX(DA!$K$16:$K$35,IFERROR(MATCH(MIN(IF(DA!$D$16:$D$35&gt;AVERAGE(B32,C32),DA!$D$16:$D$35)),DA!$D$16:$D$35),1))</f>
        <v>NR</v>
      </c>
      <c r="J32" s="9" t="str">
        <f t="array" ref="J32">INDEX(STKWp!$K$16:$K$67,IFERROR(MATCH(MIN(IF(STKWp!$D$16:$D$67&gt;AVERAGE(B32,C32),STKWp!$D$16:$D$67)),STKWp!$D$16:$D$67),1))</f>
        <v>+I</v>
      </c>
      <c r="K32" s="9" t="str">
        <f t="array" ref="K32">INDEX(BSKW!$K$16:$K$114,IFERROR(MATCH(MIN(IF(BSKW!$D$16:$D$114&gt;AVERAGE(B32,C32),BSKW!$D$16:$D$114)),BSKW!$D$16:$D$114),1))</f>
        <v>+I</v>
      </c>
      <c r="L32" s="12" t="str">
        <f t="array" ref="L32">INDEX(HTKW!$K$16:$K$91,IFERROR(MATCH(MIN(IF(HTKW!$D$16:$D$91&gt;AVERAGE(B32,C32),HTKW!$D$16:$D$91)),HTKW!$D$16:$D$91),1))</f>
        <v>+I</v>
      </c>
    </row>
    <row r="33" spans="2:12" x14ac:dyDescent="0.25">
      <c r="B33" s="8">
        <v>10.01</v>
      </c>
      <c r="C33" s="9">
        <v>10.1</v>
      </c>
      <c r="D33" s="23" t="str">
        <f t="shared" si="0"/>
        <v>+I</v>
      </c>
      <c r="E33" s="23" t="str">
        <f t="shared" si="1"/>
        <v>+I</v>
      </c>
      <c r="F33" s="9" t="str">
        <f t="array" ref="F33">INDEX(STPH!$O$16:$O$31,IFERROR(MATCH(MIN(IF(STPH!$D$16:$D$31&gt;AVERAGE(B33,C33),STPH!$D$16:$D$31)),STPH!$D$16:$D$31),1))</f>
        <v>+I</v>
      </c>
      <c r="G33" s="9" t="str">
        <f t="array" ref="G33">INDEX(STBI!$O$16:$O$41,IFERROR(MATCH(MIN(IF(STBI!$D$16:$D$41&gt;AVERAGE(B33,C33),STBI!$D$16:$D$41)),STBI!$D$16:$D$41),1))</f>
        <v>+I</v>
      </c>
      <c r="H33" s="9" t="str">
        <f t="array" ref="H33">INDEX(GEKB!$K$16:$K$35,IFERROR(MATCH(MIN(IF(GEKB!$D$16:$D$35&gt;AVERAGE(B33,C33),GEKB!$D$16:$D$35)),GEKB!$D$16:$D$35),1))</f>
        <v>+III</v>
      </c>
      <c r="I33" s="9" t="str">
        <f t="array" ref="I33">INDEX(DA!$K$16:$K$35,IFERROR(MATCH(MIN(IF(DA!$D$16:$D$35&gt;AVERAGE(B33,C33),DA!$D$16:$D$35)),DA!$D$16:$D$35),1))</f>
        <v>NR</v>
      </c>
      <c r="J33" s="9" t="str">
        <f t="array" ref="J33">INDEX(STKWp!$K$16:$K$67,IFERROR(MATCH(MIN(IF(STKWp!$D$16:$D$67&gt;AVERAGE(B33,C33),STKWp!$D$16:$D$67)),STKWp!$D$16:$D$67),1))</f>
        <v>NR</v>
      </c>
      <c r="K33" s="9" t="str">
        <f t="array" ref="K33">INDEX(BSKW!$K$16:$K$114,IFERROR(MATCH(MIN(IF(BSKW!$D$16:$D$114&gt;AVERAGE(B33,C33),BSKW!$D$16:$D$114)),BSKW!$D$16:$D$114),1))</f>
        <v>NR</v>
      </c>
      <c r="L33" s="12" t="str">
        <f t="array" ref="L33">INDEX(HTKW!$K$16:$K$91,IFERROR(MATCH(MIN(IF(HTKW!$D$16:$D$91&gt;AVERAGE(B33,C33),HTKW!$D$16:$D$91)),HTKW!$D$16:$D$91),1))</f>
        <v>NR</v>
      </c>
    </row>
    <row r="34" spans="2:12" x14ac:dyDescent="0.25">
      <c r="B34" s="8">
        <v>10.1</v>
      </c>
      <c r="C34" s="9">
        <v>10.199999999999999</v>
      </c>
      <c r="D34" s="23" t="str">
        <f t="shared" si="0"/>
        <v>+I</v>
      </c>
      <c r="E34" s="23" t="str">
        <f t="shared" si="1"/>
        <v>+I</v>
      </c>
      <c r="F34" s="9" t="str">
        <f t="array" ref="F34">INDEX(STPH!$O$16:$O$31,IFERROR(MATCH(MIN(IF(STPH!$D$16:$D$31&gt;AVERAGE(B34,C34),STPH!$D$16:$D$31)),STPH!$D$16:$D$31),1))</f>
        <v>+I</v>
      </c>
      <c r="G34" s="9" t="str">
        <f t="array" ref="G34">INDEX(STBI!$O$16:$O$41,IFERROR(MATCH(MIN(IF(STBI!$D$16:$D$41&gt;AVERAGE(B34,C34),STBI!$D$16:$D$41)),STBI!$D$16:$D$41),1))</f>
        <v>+I</v>
      </c>
      <c r="H34" s="9" t="str">
        <f t="array" ref="H34">INDEX(GEKB!$K$16:$K$35,IFERROR(MATCH(MIN(IF(GEKB!$D$16:$D$35&gt;AVERAGE(B34,C34),GEKB!$D$16:$D$35)),GEKB!$D$16:$D$35),1))</f>
        <v>+II</v>
      </c>
      <c r="I34" s="9" t="str">
        <f t="array" ref="I34">INDEX(DA!$K$16:$K$35,IFERROR(MATCH(MIN(IF(DA!$D$16:$D$35&gt;AVERAGE(B34,C34),DA!$D$16:$D$35)),DA!$D$16:$D$35),1))</f>
        <v>NR</v>
      </c>
      <c r="J34" s="9" t="str">
        <f t="array" ref="J34">INDEX(STKWp!$K$16:$K$67,IFERROR(MATCH(MIN(IF(STKWp!$D$16:$D$67&gt;AVERAGE(B34,C34),STKWp!$D$16:$D$67)),STKWp!$D$16:$D$67),1))</f>
        <v>NR</v>
      </c>
      <c r="K34" s="9" t="str">
        <f t="array" ref="K34">INDEX(BSKW!$K$16:$K$114,IFERROR(MATCH(MIN(IF(BSKW!$D$16:$D$114&gt;AVERAGE(B34,C34),BSKW!$D$16:$D$114)),BSKW!$D$16:$D$114),1))</f>
        <v>NR</v>
      </c>
      <c r="L34" s="12" t="str">
        <f t="array" ref="L34">INDEX(HTKW!$K$16:$K$91,IFERROR(MATCH(MIN(IF(HTKW!$D$16:$D$91&gt;AVERAGE(B34,C34),HTKW!$D$16:$D$91)),HTKW!$D$16:$D$91),1))</f>
        <v>NR</v>
      </c>
    </row>
    <row r="35" spans="2:12" x14ac:dyDescent="0.25">
      <c r="B35" s="8">
        <v>10.199999999999999</v>
      </c>
      <c r="C35" s="9">
        <v>10.210000000000001</v>
      </c>
      <c r="D35" s="23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+I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+I</v>
      </c>
      <c r="F35" s="9" t="str">
        <f t="array" ref="F35">INDEX(STPH!$O$16:$O$31,IFERROR(MATCH(MIN(IF(STPH!$D$16:$D$31&gt;AVERAGE(B35,C35),STPH!$D$16:$D$31)),STPH!$D$16:$D$31),1))</f>
        <v>+I</v>
      </c>
      <c r="G35" s="9" t="str">
        <f t="array" ref="G35">INDEX(STBI!$O$16:$O$41,IFERROR(MATCH(MIN(IF(STBI!$D$16:$D$41&gt;AVERAGE(B35,C35),STBI!$D$16:$D$41)),STBI!$D$16:$D$41),1))</f>
        <v>+I</v>
      </c>
      <c r="H35" s="9" t="str">
        <f t="array" ref="H35">INDEX(GEKB!$K$16:$K$35,IFERROR(MATCH(MIN(IF(GEKB!$D$16:$D$35&gt;AVERAGE(B35,C35),GEKB!$D$16:$D$35)),GEKB!$D$16:$D$35),1))</f>
        <v>+II</v>
      </c>
      <c r="I35" s="9" t="str">
        <f t="array" ref="I35">INDEX(DA!$K$16:$K$35,IFERROR(MATCH(MIN(IF(DA!$D$16:$D$35&gt;AVERAGE(B35,C35),DA!$D$16:$D$35)),DA!$D$16:$D$35),1))</f>
        <v>NR</v>
      </c>
      <c r="J35" s="9" t="str">
        <f t="array" ref="J35">INDEX(STKWp!$K$16:$K$67,IFERROR(MATCH(MIN(IF(STKWp!$D$16:$D$67&gt;AVERAGE(B35,C35),STKWp!$D$16:$D$67)),STKWp!$D$16:$D$67),1))</f>
        <v>+I</v>
      </c>
      <c r="K35" s="9" t="str">
        <f t="array" ref="K35">INDEX(BSKW!$K$16:$K$114,IFERROR(MATCH(MIN(IF(BSKW!$D$16:$D$114&gt;AVERAGE(B35,C35),BSKW!$D$16:$D$114)),BSKW!$D$16:$D$114),1))</f>
        <v>+I</v>
      </c>
      <c r="L35" s="12" t="str">
        <f t="array" ref="L35">INDEX(HTKW!$K$16:$K$91,IFERROR(MATCH(MIN(IF(HTKW!$D$16:$D$91&gt;AVERAGE(B35,C35),HTKW!$D$16:$D$91)),HTKW!$D$16:$D$91),1))</f>
        <v>+I</v>
      </c>
    </row>
    <row r="36" spans="2:12" x14ac:dyDescent="0.25">
      <c r="B36" s="8">
        <v>10.210000000000001</v>
      </c>
      <c r="C36" s="9">
        <v>10.55</v>
      </c>
      <c r="D36" s="23" t="str">
        <f t="shared" si="2"/>
        <v>+I</v>
      </c>
      <c r="E36" s="23" t="str">
        <f t="shared" si="3"/>
        <v>+I</v>
      </c>
      <c r="F36" s="9" t="str">
        <f t="array" ref="F36">INDEX(STPH!$O$16:$O$31,IFERROR(MATCH(MIN(IF(STPH!$D$16:$D$31&gt;AVERAGE(B36,C36),STPH!$D$16:$D$31)),STPH!$D$16:$D$31),1))</f>
        <v>+I</v>
      </c>
      <c r="G36" s="9" t="str">
        <f t="array" ref="G36">INDEX(STBI!$O$16:$O$41,IFERROR(MATCH(MIN(IF(STBI!$D$16:$D$41&gt;AVERAGE(B36,C36),STBI!$D$16:$D$41)),STBI!$D$16:$D$41),1))</f>
        <v>+I</v>
      </c>
      <c r="H36" s="9" t="str">
        <f t="array" ref="H36">INDEX(GEKB!$K$16:$K$35,IFERROR(MATCH(MIN(IF(GEKB!$D$16:$D$35&gt;AVERAGE(B36,C36),GEKB!$D$16:$D$35)),GEKB!$D$16:$D$35),1))</f>
        <v>+II</v>
      </c>
      <c r="I36" s="9" t="str">
        <f t="array" ref="I36">INDEX(DA!$K$16:$K$35,IFERROR(MATCH(MIN(IF(DA!$D$16:$D$35&gt;AVERAGE(B36,C36),DA!$D$16:$D$35)),DA!$D$16:$D$35),1))</f>
        <v>NR</v>
      </c>
      <c r="J36" s="9" t="str">
        <f t="array" ref="J36">INDEX(STKWp!$K$16:$K$67,IFERROR(MATCH(MIN(IF(STKWp!$D$16:$D$67&gt;AVERAGE(B36,C36),STKWp!$D$16:$D$67)),STKWp!$D$16:$D$67),1))</f>
        <v>NR</v>
      </c>
      <c r="K36" s="9" t="str">
        <f t="array" ref="K36">INDEX(BSKW!$K$16:$K$114,IFERROR(MATCH(MIN(IF(BSKW!$D$16:$D$114&gt;AVERAGE(B36,C36),BSKW!$D$16:$D$114)),BSKW!$D$16:$D$114),1))</f>
        <v>NR</v>
      </c>
      <c r="L36" s="12" t="str">
        <f t="array" ref="L36">INDEX(HTKW!$K$16:$K$91,IFERROR(MATCH(MIN(IF(HTKW!$D$16:$D$91&gt;AVERAGE(B36,C36),HTKW!$D$16:$D$91)),HTKW!$D$16:$D$91),1))</f>
        <v>NR</v>
      </c>
    </row>
    <row r="37" spans="2:12" x14ac:dyDescent="0.25">
      <c r="B37" s="8">
        <v>10.55</v>
      </c>
      <c r="C37" s="9">
        <v>10.56</v>
      </c>
      <c r="D37" s="23" t="str">
        <f t="shared" si="2"/>
        <v>+I</v>
      </c>
      <c r="E37" s="23" t="str">
        <f t="shared" si="3"/>
        <v>+I</v>
      </c>
      <c r="F37" s="9" t="str">
        <f t="array" ref="F37">INDEX(STPH!$O$16:$O$31,IFERROR(MATCH(MIN(IF(STPH!$D$16:$D$31&gt;AVERAGE(B37,C37),STPH!$D$16:$D$31)),STPH!$D$16:$D$31),1))</f>
        <v>+I</v>
      </c>
      <c r="G37" s="9" t="str">
        <f t="array" ref="G37">INDEX(STBI!$O$16:$O$41,IFERROR(MATCH(MIN(IF(STBI!$D$16:$D$41&gt;AVERAGE(B37,C37),STBI!$D$16:$D$41)),STBI!$D$16:$D$41),1))</f>
        <v>+I</v>
      </c>
      <c r="H37" s="9" t="str">
        <f t="array" ref="H37">INDEX(GEKB!$K$16:$K$35,IFERROR(MATCH(MIN(IF(GEKB!$D$16:$D$35&gt;AVERAGE(B37,C37),GEKB!$D$16:$D$35)),GEKB!$D$16:$D$35),1))</f>
        <v>+II</v>
      </c>
      <c r="I37" s="9" t="str">
        <f t="array" ref="I37">INDEX(DA!$K$16:$K$35,IFERROR(MATCH(MIN(IF(DA!$D$16:$D$35&gt;AVERAGE(B37,C37),DA!$D$16:$D$35)),DA!$D$16:$D$35),1))</f>
        <v>NR</v>
      </c>
      <c r="J37" s="9" t="str">
        <f t="array" ref="J37">INDEX(STKWp!$K$16:$K$67,IFERROR(MATCH(MIN(IF(STKWp!$D$16:$D$67&gt;AVERAGE(B37,C37),STKWp!$D$16:$D$67)),STKWp!$D$16:$D$67),1))</f>
        <v>+I</v>
      </c>
      <c r="K37" s="9" t="str">
        <f t="array" ref="K37">INDEX(BSKW!$K$16:$K$114,IFERROR(MATCH(MIN(IF(BSKW!$D$16:$D$114&gt;AVERAGE(B37,C37),BSKW!$D$16:$D$114)),BSKW!$D$16:$D$114),1))</f>
        <v>+II</v>
      </c>
      <c r="L37" s="12" t="str">
        <f t="array" ref="L37">INDEX(HTKW!$K$16:$K$91,IFERROR(MATCH(MIN(IF(HTKW!$D$16:$D$91&gt;AVERAGE(B37,C37),HTKW!$D$16:$D$91)),HTKW!$D$16:$D$91),1))</f>
        <v>+I</v>
      </c>
    </row>
    <row r="38" spans="2:12" x14ac:dyDescent="0.25">
      <c r="B38" s="8">
        <v>10.56</v>
      </c>
      <c r="C38" s="9">
        <v>10.6</v>
      </c>
      <c r="D38" s="23" t="str">
        <f t="shared" si="2"/>
        <v>+I</v>
      </c>
      <c r="E38" s="23" t="str">
        <f t="shared" si="3"/>
        <v>+I</v>
      </c>
      <c r="F38" s="9" t="str">
        <f t="array" ref="F38">INDEX(STPH!$O$16:$O$31,IFERROR(MATCH(MIN(IF(STPH!$D$16:$D$31&gt;AVERAGE(B38,C38),STPH!$D$16:$D$31)),STPH!$D$16:$D$31),1))</f>
        <v>+I</v>
      </c>
      <c r="G38" s="9" t="str">
        <f t="array" ref="G38">INDEX(STBI!$O$16:$O$41,IFERROR(MATCH(MIN(IF(STBI!$D$16:$D$41&gt;AVERAGE(B38,C38),STBI!$D$16:$D$41)),STBI!$D$16:$D$41),1))</f>
        <v>+I</v>
      </c>
      <c r="H38" s="9" t="str">
        <f t="array" ref="H38">INDEX(GEKB!$K$16:$K$35,IFERROR(MATCH(MIN(IF(GEKB!$D$16:$D$35&gt;AVERAGE(B38,C38),GEKB!$D$16:$D$35)),GEKB!$D$16:$D$35),1))</f>
        <v>+II</v>
      </c>
      <c r="I38" s="9" t="str">
        <f t="array" ref="I38">INDEX(DA!$K$16:$K$35,IFERROR(MATCH(MIN(IF(DA!$D$16:$D$35&gt;AVERAGE(B38,C38),DA!$D$16:$D$35)),DA!$D$16:$D$35),1))</f>
        <v>NR</v>
      </c>
      <c r="J38" s="9" t="str">
        <f t="array" ref="J38">INDEX(STKWp!$K$16:$K$67,IFERROR(MATCH(MIN(IF(STKWp!$D$16:$D$67&gt;AVERAGE(B38,C38),STKWp!$D$16:$D$67)),STKWp!$D$16:$D$67),1))</f>
        <v>NR</v>
      </c>
      <c r="K38" s="9" t="str">
        <f t="array" ref="K38">INDEX(BSKW!$K$16:$K$114,IFERROR(MATCH(MIN(IF(BSKW!$D$16:$D$114&gt;AVERAGE(B38,C38),BSKW!$D$16:$D$114)),BSKW!$D$16:$D$114),1))</f>
        <v>NR</v>
      </c>
      <c r="L38" s="12" t="str">
        <f t="array" ref="L38">INDEX(HTKW!$K$16:$K$91,IFERROR(MATCH(MIN(IF(HTKW!$D$16:$D$91&gt;AVERAGE(B38,C38),HTKW!$D$16:$D$91)),HTKW!$D$16:$D$91),1))</f>
        <v>NR</v>
      </c>
    </row>
    <row r="39" spans="2:12" x14ac:dyDescent="0.25">
      <c r="B39" s="8">
        <v>10.6</v>
      </c>
      <c r="C39" s="9">
        <v>11</v>
      </c>
      <c r="D39" s="23" t="str">
        <f t="shared" si="2"/>
        <v>+I</v>
      </c>
      <c r="E39" s="23" t="str">
        <f t="shared" si="3"/>
        <v>+I</v>
      </c>
      <c r="F39" s="9" t="str">
        <f t="array" ref="F39">INDEX(STPH!$O$16:$O$31,IFERROR(MATCH(MIN(IF(STPH!$D$16:$D$31&gt;AVERAGE(B39,C39),STPH!$D$16:$D$31)),STPH!$D$16:$D$31),1))</f>
        <v>+I</v>
      </c>
      <c r="G39" s="9" t="str">
        <f t="array" ref="G39">INDEX(STBI!$O$16:$O$41,IFERROR(MATCH(MIN(IF(STBI!$D$16:$D$41&gt;AVERAGE(B39,C39),STBI!$D$16:$D$41)),STBI!$D$16:$D$41),1))</f>
        <v>+II</v>
      </c>
      <c r="H39" s="9" t="str">
        <f t="array" ref="H39">INDEX(GEKB!$K$16:$K$35,IFERROR(MATCH(MIN(IF(GEKB!$D$16:$D$35&gt;AVERAGE(B39,C39),GEKB!$D$16:$D$35)),GEKB!$D$16:$D$35),1))</f>
        <v>+II</v>
      </c>
      <c r="I39" s="9" t="str">
        <f t="array" ref="I39">INDEX(DA!$K$16:$K$35,IFERROR(MATCH(MIN(IF(DA!$D$16:$D$35&gt;AVERAGE(B39,C39),DA!$D$16:$D$35)),DA!$D$16:$D$35),1))</f>
        <v>NR</v>
      </c>
      <c r="J39" s="9" t="str">
        <f t="array" ref="J39">INDEX(STKWp!$K$16:$K$67,IFERROR(MATCH(MIN(IF(STKWp!$D$16:$D$67&gt;AVERAGE(B39,C39),STKWp!$D$16:$D$67)),STKWp!$D$16:$D$67),1))</f>
        <v>NR</v>
      </c>
      <c r="K39" s="9" t="str">
        <f t="array" ref="K39">INDEX(BSKW!$K$16:$K$114,IFERROR(MATCH(MIN(IF(BSKW!$D$16:$D$114&gt;AVERAGE(B39,C39),BSKW!$D$16:$D$114)),BSKW!$D$16:$D$114),1))</f>
        <v>NR</v>
      </c>
      <c r="L39" s="12" t="str">
        <f t="array" ref="L39">INDEX(HTKW!$K$16:$K$91,IFERROR(MATCH(MIN(IF(HTKW!$D$16:$D$91&gt;AVERAGE(B39,C39),HTKW!$D$16:$D$91)),HTKW!$D$16:$D$91),1))</f>
        <v>NR</v>
      </c>
    </row>
    <row r="40" spans="2:12" x14ac:dyDescent="0.25">
      <c r="B40" s="8">
        <v>11</v>
      </c>
      <c r="C40" s="9">
        <v>11.01</v>
      </c>
      <c r="D40" s="23" t="str">
        <f t="shared" si="2"/>
        <v>+I</v>
      </c>
      <c r="E40" s="23" t="str">
        <f t="shared" si="3"/>
        <v>+I</v>
      </c>
      <c r="F40" s="9" t="str">
        <f t="array" ref="F40">INDEX(STPH!$O$16:$O$31,IFERROR(MATCH(MIN(IF(STPH!$D$16:$D$31&gt;AVERAGE(B40,C40),STPH!$D$16:$D$31)),STPH!$D$16:$D$31),1))</f>
        <v>+I</v>
      </c>
      <c r="G40" s="9" t="str">
        <f t="array" ref="G40">INDEX(STBI!$O$16:$O$41,IFERROR(MATCH(MIN(IF(STBI!$D$16:$D$41&gt;AVERAGE(B40,C40),STBI!$D$16:$D$41)),STBI!$D$16:$D$41),1))</f>
        <v>+II</v>
      </c>
      <c r="H40" s="9" t="str">
        <f t="array" ref="H40">INDEX(GEKB!$K$16:$K$35,IFERROR(MATCH(MIN(IF(GEKB!$D$16:$D$35&gt;AVERAGE(B40,C40),GEKB!$D$16:$D$35)),GEKB!$D$16:$D$35),1))</f>
        <v>+II</v>
      </c>
      <c r="I40" s="9" t="str">
        <f t="array" ref="I40">INDEX(DA!$K$16:$K$35,IFERROR(MATCH(MIN(IF(DA!$D$16:$D$35&gt;AVERAGE(B40,C40),DA!$D$16:$D$35)),DA!$D$16:$D$35),1))</f>
        <v>NR</v>
      </c>
      <c r="J40" s="9" t="str">
        <f t="array" ref="J40">INDEX(STKWp!$K$16:$K$67,IFERROR(MATCH(MIN(IF(STKWp!$D$16:$D$67&gt;AVERAGE(B40,C40),STKWp!$D$16:$D$67)),STKWp!$D$16:$D$67),1))</f>
        <v>+II</v>
      </c>
      <c r="K40" s="9" t="str">
        <f t="array" ref="K40">INDEX(BSKW!$K$16:$K$114,IFERROR(MATCH(MIN(IF(BSKW!$D$16:$D$114&gt;AVERAGE(B40,C40),BSKW!$D$16:$D$114)),BSKW!$D$16:$D$114),1))</f>
        <v>+II</v>
      </c>
      <c r="L40" s="12" t="str">
        <f t="array" ref="L40">INDEX(HTKW!$K$16:$K$91,IFERROR(MATCH(MIN(IF(HTKW!$D$16:$D$91&gt;AVERAGE(B40,C40),HTKW!$D$16:$D$91)),HTKW!$D$16:$D$91),1))</f>
        <v>+II</v>
      </c>
    </row>
    <row r="41" spans="2:12" x14ac:dyDescent="0.25">
      <c r="B41" s="8">
        <v>11.01</v>
      </c>
      <c r="C41" s="9">
        <v>11.799999999999999</v>
      </c>
      <c r="D41" s="23" t="str">
        <f t="shared" si="2"/>
        <v>+I</v>
      </c>
      <c r="E41" s="23" t="str">
        <f t="shared" si="3"/>
        <v>+I</v>
      </c>
      <c r="F41" s="9" t="str">
        <f t="array" ref="F41">INDEX(STPH!$O$16:$O$31,IFERROR(MATCH(MIN(IF(STPH!$D$16:$D$31&gt;AVERAGE(B41,C41),STPH!$D$16:$D$31)),STPH!$D$16:$D$31),1))</f>
        <v>+I</v>
      </c>
      <c r="G41" s="9" t="str">
        <f t="array" ref="G41">INDEX(STBI!$O$16:$O$41,IFERROR(MATCH(MIN(IF(STBI!$D$16:$D$41&gt;AVERAGE(B41,C41),STBI!$D$16:$D$41)),STBI!$D$16:$D$41),1))</f>
        <v>+II</v>
      </c>
      <c r="H41" s="9" t="str">
        <f t="array" ref="H41">INDEX(GEKB!$K$16:$K$35,IFERROR(MATCH(MIN(IF(GEKB!$D$16:$D$35&gt;AVERAGE(B41,C41),GEKB!$D$16:$D$35)),GEKB!$D$16:$D$35),1))</f>
        <v>+II</v>
      </c>
      <c r="I41" s="9" t="str">
        <f t="array" ref="I41">INDEX(DA!$K$16:$K$35,IFERROR(MATCH(MIN(IF(DA!$D$16:$D$35&gt;AVERAGE(B41,C41),DA!$D$16:$D$35)),DA!$D$16:$D$35),1))</f>
        <v>NR</v>
      </c>
      <c r="J41" s="9" t="str">
        <f t="array" ref="J41">INDEX(STKWp!$K$16:$K$67,IFERROR(MATCH(MIN(IF(STKWp!$D$16:$D$67&gt;AVERAGE(B41,C41),STKWp!$D$16:$D$67)),STKWp!$D$16:$D$67),1))</f>
        <v>NR</v>
      </c>
      <c r="K41" s="9" t="str">
        <f t="array" ref="K41">INDEX(BSKW!$K$16:$K$114,IFERROR(MATCH(MIN(IF(BSKW!$D$16:$D$114&gt;AVERAGE(B41,C41),BSKW!$D$16:$D$114)),BSKW!$D$16:$D$114),1))</f>
        <v>NR</v>
      </c>
      <c r="L41" s="12" t="str">
        <f t="array" ref="L41">INDEX(HTKW!$K$16:$K$91,IFERROR(MATCH(MIN(IF(HTKW!$D$16:$D$91&gt;AVERAGE(B41,C41),HTKW!$D$16:$D$91)),HTKW!$D$16:$D$91),1))</f>
        <v>NR</v>
      </c>
    </row>
    <row r="42" spans="2:12" x14ac:dyDescent="0.25">
      <c r="B42" s="8">
        <v>11.799999999999999</v>
      </c>
      <c r="C42" s="9">
        <v>11.81</v>
      </c>
      <c r="D42" s="23" t="str">
        <f t="shared" si="2"/>
        <v>+I</v>
      </c>
      <c r="E42" s="23" t="str">
        <f t="shared" si="3"/>
        <v>+I</v>
      </c>
      <c r="F42" s="9" t="str">
        <f t="array" ref="F42">INDEX(STPH!$O$16:$O$31,IFERROR(MATCH(MIN(IF(STPH!$D$16:$D$31&gt;AVERAGE(B42,C42),STPH!$D$16:$D$31)),STPH!$D$16:$D$31),1))</f>
        <v>+I</v>
      </c>
      <c r="G42" s="9" t="str">
        <f t="array" ref="G42">INDEX(STBI!$O$16:$O$41,IFERROR(MATCH(MIN(IF(STBI!$D$16:$D$41&gt;AVERAGE(B42,C42),STBI!$D$16:$D$41)),STBI!$D$16:$D$41),1))</f>
        <v>+II</v>
      </c>
      <c r="H42" s="9" t="str">
        <f t="array" ref="H42">INDEX(GEKB!$K$16:$K$35,IFERROR(MATCH(MIN(IF(GEKB!$D$16:$D$35&gt;AVERAGE(B42,C42),GEKB!$D$16:$D$35)),GEKB!$D$16:$D$35),1))</f>
        <v>+II</v>
      </c>
      <c r="I42" s="9" t="str">
        <f t="array" ref="I42">INDEX(DA!$K$16:$K$35,IFERROR(MATCH(MIN(IF(DA!$D$16:$D$35&gt;AVERAGE(B42,C42),DA!$D$16:$D$35)),DA!$D$16:$D$35),1))</f>
        <v>NR</v>
      </c>
      <c r="J42" s="9" t="str">
        <f t="array" ref="J42">INDEX(STKWp!$K$16:$K$67,IFERROR(MATCH(MIN(IF(STKWp!$D$16:$D$67&gt;AVERAGE(B42,C42),STKWp!$D$16:$D$67)),STKWp!$D$16:$D$67),1))</f>
        <v>+II</v>
      </c>
      <c r="K42" s="9" t="str">
        <f t="array" ref="K42">INDEX(BSKW!$K$16:$K$114,IFERROR(MATCH(MIN(IF(BSKW!$D$16:$D$114&gt;AVERAGE(B42,C42),BSKW!$D$16:$D$114)),BSKW!$D$16:$D$114),1))</f>
        <v>+II</v>
      </c>
      <c r="L42" s="12" t="str">
        <f t="array" ref="L42">INDEX(HTKW!$K$16:$K$91,IFERROR(MATCH(MIN(IF(HTKW!$D$16:$D$91&gt;AVERAGE(B42,C42),HTKW!$D$16:$D$91)),HTKW!$D$16:$D$91),1))</f>
        <v>+II</v>
      </c>
    </row>
    <row r="43" spans="2:12" x14ac:dyDescent="0.25">
      <c r="B43" s="8">
        <v>11.81</v>
      </c>
      <c r="C43" s="9">
        <v>12.200000000000001</v>
      </c>
      <c r="D43" s="23" t="str">
        <f t="shared" si="2"/>
        <v>+I</v>
      </c>
      <c r="E43" s="23" t="str">
        <f t="shared" si="3"/>
        <v>+I</v>
      </c>
      <c r="F43" s="9" t="str">
        <f t="array" ref="F43">INDEX(STPH!$O$16:$O$31,IFERROR(MATCH(MIN(IF(STPH!$D$16:$D$31&gt;AVERAGE(B43,C43),STPH!$D$16:$D$31)),STPH!$D$16:$D$31),1))</f>
        <v>+I</v>
      </c>
      <c r="G43" s="9" t="str">
        <f t="array" ref="G43">INDEX(STBI!$O$16:$O$41,IFERROR(MATCH(MIN(IF(STBI!$D$16:$D$41&gt;AVERAGE(B43,C43),STBI!$D$16:$D$41)),STBI!$D$16:$D$41),1))</f>
        <v>+II</v>
      </c>
      <c r="H43" s="9" t="str">
        <f t="array" ref="H43">INDEX(GEKB!$K$16:$K$35,IFERROR(MATCH(MIN(IF(GEKB!$D$16:$D$35&gt;AVERAGE(B43,C43),GEKB!$D$16:$D$35)),GEKB!$D$16:$D$35),1))</f>
        <v>+II</v>
      </c>
      <c r="I43" s="9" t="str">
        <f t="array" ref="I43">INDEX(DA!$K$16:$K$35,IFERROR(MATCH(MIN(IF(DA!$D$16:$D$35&gt;AVERAGE(B43,C43),DA!$D$16:$D$35)),DA!$D$16:$D$35),1))</f>
        <v>NR</v>
      </c>
      <c r="J43" s="9" t="str">
        <f t="array" ref="J43">INDEX(STKWp!$K$16:$K$67,IFERROR(MATCH(MIN(IF(STKWp!$D$16:$D$67&gt;AVERAGE(B43,C43),STKWp!$D$16:$D$67)),STKWp!$D$16:$D$67),1))</f>
        <v>NR</v>
      </c>
      <c r="K43" s="9" t="str">
        <f t="array" ref="K43">INDEX(BSKW!$K$16:$K$114,IFERROR(MATCH(MIN(IF(BSKW!$D$16:$D$114&gt;AVERAGE(B43,C43),BSKW!$D$16:$D$114)),BSKW!$D$16:$D$114),1))</f>
        <v>NR</v>
      </c>
      <c r="L43" s="12" t="str">
        <f t="array" ref="L43">INDEX(HTKW!$K$16:$K$91,IFERROR(MATCH(MIN(IF(HTKW!$D$16:$D$91&gt;AVERAGE(B43,C43),HTKW!$D$16:$D$91)),HTKW!$D$16:$D$91),1))</f>
        <v>NR</v>
      </c>
    </row>
    <row r="44" spans="2:12" x14ac:dyDescent="0.25">
      <c r="B44" s="8">
        <v>12.200000000000001</v>
      </c>
      <c r="C44" s="9">
        <v>12.500000000000002</v>
      </c>
      <c r="D44" s="23" t="str">
        <f t="shared" si="2"/>
        <v>+II</v>
      </c>
      <c r="E44" s="23" t="str">
        <f t="shared" si="3"/>
        <v>+II</v>
      </c>
      <c r="F44" s="9" t="str">
        <f t="array" ref="F44">INDEX(STPH!$O$16:$O$31,IFERROR(MATCH(MIN(IF(STPH!$D$16:$D$31&gt;AVERAGE(B44,C44),STPH!$D$16:$D$31)),STPH!$D$16:$D$31),1))</f>
        <v>+III</v>
      </c>
      <c r="G44" s="9" t="str">
        <f t="array" ref="G44">INDEX(STBI!$O$16:$O$41,IFERROR(MATCH(MIN(IF(STBI!$D$16:$D$41&gt;AVERAGE(B44,C44),STBI!$D$16:$D$41)),STBI!$D$16:$D$41),1))</f>
        <v>+II</v>
      </c>
      <c r="H44" s="9" t="str">
        <f t="array" ref="H44">INDEX(GEKB!$K$16:$K$35,IFERROR(MATCH(MIN(IF(GEKB!$D$16:$D$35&gt;AVERAGE(B44,C44),GEKB!$D$16:$D$35)),GEKB!$D$16:$D$35),1))</f>
        <v>+II</v>
      </c>
      <c r="I44" s="9" t="str">
        <f t="array" ref="I44">INDEX(DA!$K$16:$K$35,IFERROR(MATCH(MIN(IF(DA!$D$16:$D$35&gt;AVERAGE(B44,C44),DA!$D$16:$D$35)),DA!$D$16:$D$35),1))</f>
        <v>NR</v>
      </c>
      <c r="J44" s="9" t="str">
        <f t="array" ref="J44">INDEX(STKWp!$K$16:$K$67,IFERROR(MATCH(MIN(IF(STKWp!$D$16:$D$67&gt;AVERAGE(B44,C44),STKWp!$D$16:$D$67)),STKWp!$D$16:$D$67),1))</f>
        <v>NR</v>
      </c>
      <c r="K44" s="9" t="str">
        <f t="array" ref="K44">INDEX(BSKW!$K$16:$K$114,IFERROR(MATCH(MIN(IF(BSKW!$D$16:$D$114&gt;AVERAGE(B44,C44),BSKW!$D$16:$D$114)),BSKW!$D$16:$D$114),1))</f>
        <v>NR</v>
      </c>
      <c r="L44" s="12" t="str">
        <f t="array" ref="L44">INDEX(HTKW!$K$16:$K$91,IFERROR(MATCH(MIN(IF(HTKW!$D$16:$D$91&gt;AVERAGE(B44,C44),HTKW!$D$16:$D$91)),HTKW!$D$16:$D$91),1))</f>
        <v>NR</v>
      </c>
    </row>
    <row r="45" spans="2:12" x14ac:dyDescent="0.25">
      <c r="B45" s="8">
        <v>12.500000000000002</v>
      </c>
      <c r="C45" s="9">
        <v>13</v>
      </c>
      <c r="D45" s="23" t="str">
        <f t="shared" si="2"/>
        <v>+II</v>
      </c>
      <c r="E45" s="23" t="str">
        <f t="shared" si="3"/>
        <v>+II</v>
      </c>
      <c r="F45" s="9" t="str">
        <f t="array" ref="F45">INDEX(STPH!$O$16:$O$31,IFERROR(MATCH(MIN(IF(STPH!$D$16:$D$31&gt;AVERAGE(B45,C45),STPH!$D$16:$D$31)),STPH!$D$16:$D$31),1))</f>
        <v>+III</v>
      </c>
      <c r="G45" s="9" t="str">
        <f t="array" ref="G45">INDEX(STBI!$O$16:$O$41,IFERROR(MATCH(MIN(IF(STBI!$D$16:$D$41&gt;AVERAGE(B45,C45),STBI!$D$16:$D$41)),STBI!$D$16:$D$41),1))</f>
        <v>+III</v>
      </c>
      <c r="H45" s="9" t="str">
        <f t="array" ref="H45">INDEX(GEKB!$K$16:$K$35,IFERROR(MATCH(MIN(IF(GEKB!$D$16:$D$35&gt;AVERAGE(B45,C45),GEKB!$D$16:$D$35)),GEKB!$D$16:$D$35),1))</f>
        <v>+II</v>
      </c>
      <c r="I45" s="9" t="str">
        <f t="array" ref="I45">INDEX(DA!$K$16:$K$35,IFERROR(MATCH(MIN(IF(DA!$D$16:$D$35&gt;AVERAGE(B45,C45),DA!$D$16:$D$35)),DA!$D$16:$D$35),1))</f>
        <v>NR</v>
      </c>
      <c r="J45" s="9" t="str">
        <f t="array" ref="J45">INDEX(STKWp!$K$16:$K$67,IFERROR(MATCH(MIN(IF(STKWp!$D$16:$D$67&gt;AVERAGE(B45,C45),STKWp!$D$16:$D$67)),STKWp!$D$16:$D$67),1))</f>
        <v>NR</v>
      </c>
      <c r="K45" s="9" t="str">
        <f t="array" ref="K45">INDEX(BSKW!$K$16:$K$114,IFERROR(MATCH(MIN(IF(BSKW!$D$16:$D$114&gt;AVERAGE(B45,C45),BSKW!$D$16:$D$114)),BSKW!$D$16:$D$114),1))</f>
        <v>NR</v>
      </c>
      <c r="L45" s="12" t="str">
        <f t="array" ref="L45">INDEX(HTKW!$K$16:$K$91,IFERROR(MATCH(MIN(IF(HTKW!$D$16:$D$91&gt;AVERAGE(B45,C45),HTKW!$D$16:$D$91)),HTKW!$D$16:$D$91),1))</f>
        <v>NR</v>
      </c>
    </row>
    <row r="46" spans="2:12" x14ac:dyDescent="0.25">
      <c r="B46" s="8">
        <v>13</v>
      </c>
      <c r="C46" s="9">
        <v>13.01</v>
      </c>
      <c r="D46" s="23" t="str">
        <f t="shared" si="2"/>
        <v>+I</v>
      </c>
      <c r="E46" s="23" t="str">
        <f t="shared" si="3"/>
        <v>+I</v>
      </c>
      <c r="F46" s="9" t="str">
        <f t="array" ref="F46">INDEX(STPH!$O$16:$O$31,IFERROR(MATCH(MIN(IF(STPH!$D$16:$D$31&gt;AVERAGE(B46,C46),STPH!$D$16:$D$31)),STPH!$D$16:$D$31),1))</f>
        <v>+III</v>
      </c>
      <c r="G46" s="9" t="str">
        <f t="array" ref="G46">INDEX(STBI!$O$16:$O$41,IFERROR(MATCH(MIN(IF(STBI!$D$16:$D$41&gt;AVERAGE(B46,C46),STBI!$D$16:$D$41)),STBI!$D$16:$D$41),1))</f>
        <v>+III</v>
      </c>
      <c r="H46" s="9" t="str">
        <f t="array" ref="H46">INDEX(GEKB!$K$16:$K$35,IFERROR(MATCH(MIN(IF(GEKB!$D$16:$D$35&gt;AVERAGE(B46,C46),GEKB!$D$16:$D$35)),GEKB!$D$16:$D$35),1))</f>
        <v>+II</v>
      </c>
      <c r="I46" s="9" t="str">
        <f t="array" ref="I46">INDEX(DA!$K$16:$K$35,IFERROR(MATCH(MIN(IF(DA!$D$16:$D$35&gt;AVERAGE(B46,C46),DA!$D$16:$D$35)),DA!$D$16:$D$35),1))</f>
        <v>NR</v>
      </c>
      <c r="J46" s="9" t="str">
        <f t="array" ref="J46">INDEX(STKWp!$K$16:$K$67,IFERROR(MATCH(MIN(IF(STKWp!$D$16:$D$67&gt;AVERAGE(B46,C46),STKWp!$D$16:$D$67)),STKWp!$D$16:$D$67),1))</f>
        <v>+I</v>
      </c>
      <c r="K46" s="9" t="str">
        <f t="array" ref="K46">INDEX(BSKW!$K$16:$K$114,IFERROR(MATCH(MIN(IF(BSKW!$D$16:$D$114&gt;AVERAGE(B46,C46),BSKW!$D$16:$D$114)),BSKW!$D$16:$D$114),1))</f>
        <v>+I</v>
      </c>
      <c r="L46" s="12" t="str">
        <f t="array" ref="L46">INDEX(HTKW!$K$16:$K$91,IFERROR(MATCH(MIN(IF(HTKW!$D$16:$D$91&gt;AVERAGE(B46,C46),HTKW!$D$16:$D$91)),HTKW!$D$16:$D$91),1))</f>
        <v>+I</v>
      </c>
    </row>
    <row r="47" spans="2:12" x14ac:dyDescent="0.25">
      <c r="B47" s="8">
        <v>13.01</v>
      </c>
      <c r="C47" s="9">
        <v>13.200000000000001</v>
      </c>
      <c r="D47" s="23" t="str">
        <f t="shared" si="2"/>
        <v>+II</v>
      </c>
      <c r="E47" s="23" t="str">
        <f t="shared" si="3"/>
        <v>+II</v>
      </c>
      <c r="F47" s="9" t="str">
        <f t="array" ref="F47">INDEX(STPH!$O$16:$O$31,IFERROR(MATCH(MIN(IF(STPH!$D$16:$D$31&gt;AVERAGE(B47,C47),STPH!$D$16:$D$31)),STPH!$D$16:$D$31),1))</f>
        <v>+III</v>
      </c>
      <c r="G47" s="9" t="str">
        <f t="array" ref="G47">INDEX(STBI!$O$16:$O$41,IFERROR(MATCH(MIN(IF(STBI!$D$16:$D$41&gt;AVERAGE(B47,C47),STBI!$D$16:$D$41)),STBI!$D$16:$D$41),1))</f>
        <v>+III</v>
      </c>
      <c r="H47" s="9" t="str">
        <f t="array" ref="H47">INDEX(GEKB!$K$16:$K$35,IFERROR(MATCH(MIN(IF(GEKB!$D$16:$D$35&gt;AVERAGE(B47,C47),GEKB!$D$16:$D$35)),GEKB!$D$16:$D$35),1))</f>
        <v>+II</v>
      </c>
      <c r="I47" s="9" t="str">
        <f t="array" ref="I47">INDEX(DA!$K$16:$K$35,IFERROR(MATCH(MIN(IF(DA!$D$16:$D$35&gt;AVERAGE(B47,C47),DA!$D$16:$D$35)),DA!$D$16:$D$35),1))</f>
        <v>NR</v>
      </c>
      <c r="J47" s="9" t="str">
        <f t="array" ref="J47">INDEX(STKWp!$K$16:$K$67,IFERROR(MATCH(MIN(IF(STKWp!$D$16:$D$67&gt;AVERAGE(B47,C47),STKWp!$D$16:$D$67)),STKWp!$D$16:$D$67),1))</f>
        <v>NR</v>
      </c>
      <c r="K47" s="9" t="str">
        <f t="array" ref="K47">INDEX(BSKW!$K$16:$K$114,IFERROR(MATCH(MIN(IF(BSKW!$D$16:$D$114&gt;AVERAGE(B47,C47),BSKW!$D$16:$D$114)),BSKW!$D$16:$D$114),1))</f>
        <v>NR</v>
      </c>
      <c r="L47" s="12" t="str">
        <f t="array" ref="L47">INDEX(HTKW!$K$16:$K$91,IFERROR(MATCH(MIN(IF(HTKW!$D$16:$D$91&gt;AVERAGE(B47,C47),HTKW!$D$16:$D$91)),HTKW!$D$16:$D$91),1))</f>
        <v>NR</v>
      </c>
    </row>
    <row r="48" spans="2:12" x14ac:dyDescent="0.25">
      <c r="B48" s="8">
        <v>13.200000000000001</v>
      </c>
      <c r="C48" s="9">
        <v>13.4</v>
      </c>
      <c r="D48" s="23" t="str">
        <f t="shared" si="2"/>
        <v>+III</v>
      </c>
      <c r="E48" s="23" t="str">
        <f t="shared" si="3"/>
        <v>+III</v>
      </c>
      <c r="F48" s="9" t="str">
        <f t="array" ref="F48">INDEX(STPH!$O$16:$O$31,IFERROR(MATCH(MIN(IF(STPH!$D$16:$D$31&gt;AVERAGE(B48,C48),STPH!$D$16:$D$31)),STPH!$D$16:$D$31),1))</f>
        <v>+III</v>
      </c>
      <c r="G48" s="9" t="str">
        <f t="array" ref="G48">INDEX(STBI!$O$16:$O$41,IFERROR(MATCH(MIN(IF(STBI!$D$16:$D$41&gt;AVERAGE(B48,C48),STBI!$D$16:$D$41)),STBI!$D$16:$D$41),1))</f>
        <v>+III</v>
      </c>
      <c r="H48" s="9" t="str">
        <f t="array" ref="H48">INDEX(GEKB!$K$16:$K$35,IFERROR(MATCH(MIN(IF(GEKB!$D$16:$D$35&gt;AVERAGE(B48,C48),GEKB!$D$16:$D$35)),GEKB!$D$16:$D$35),1))</f>
        <v>+III</v>
      </c>
      <c r="I48" s="9" t="str">
        <f t="array" ref="I48">INDEX(DA!$K$16:$K$35,IFERROR(MATCH(MIN(IF(DA!$D$16:$D$35&gt;AVERAGE(B48,C48),DA!$D$16:$D$35)),DA!$D$16:$D$35),1))</f>
        <v>NR</v>
      </c>
      <c r="J48" s="9" t="str">
        <f t="array" ref="J48">INDEX(STKWp!$K$16:$K$67,IFERROR(MATCH(MIN(IF(STKWp!$D$16:$D$67&gt;AVERAGE(B48,C48),STKWp!$D$16:$D$67)),STKWp!$D$16:$D$67),1))</f>
        <v>NR</v>
      </c>
      <c r="K48" s="9" t="str">
        <f t="array" ref="K48">INDEX(BSKW!$K$16:$K$114,IFERROR(MATCH(MIN(IF(BSKW!$D$16:$D$114&gt;AVERAGE(B48,C48),BSKW!$D$16:$D$114)),BSKW!$D$16:$D$114),1))</f>
        <v>NR</v>
      </c>
      <c r="L48" s="12" t="str">
        <f t="array" ref="L48">INDEX(HTKW!$K$16:$K$91,IFERROR(MATCH(MIN(IF(HTKW!$D$16:$D$91&gt;AVERAGE(B48,C48),HTKW!$D$16:$D$91)),HTKW!$D$16:$D$91),1))</f>
        <v>NR</v>
      </c>
    </row>
    <row r="49" spans="2:12" x14ac:dyDescent="0.25">
      <c r="B49" s="8">
        <v>13.4</v>
      </c>
      <c r="C49" s="9">
        <v>13.41</v>
      </c>
      <c r="D49" s="23" t="str">
        <f t="shared" si="2"/>
        <v>+II</v>
      </c>
      <c r="E49" s="23" t="str">
        <f t="shared" si="3"/>
        <v>+II</v>
      </c>
      <c r="F49" s="9" t="str">
        <f t="array" ref="F49">INDEX(STPH!$O$16:$O$31,IFERROR(MATCH(MIN(IF(STPH!$D$16:$D$31&gt;AVERAGE(B49,C49),STPH!$D$16:$D$31)),STPH!$D$16:$D$31),1))</f>
        <v>+III</v>
      </c>
      <c r="G49" s="9" t="str">
        <f t="array" ref="G49">INDEX(STBI!$O$16:$O$41,IFERROR(MATCH(MIN(IF(STBI!$D$16:$D$41&gt;AVERAGE(B49,C49),STBI!$D$16:$D$41)),STBI!$D$16:$D$41),1))</f>
        <v>+III</v>
      </c>
      <c r="H49" s="9" t="str">
        <f t="array" ref="H49">INDEX(GEKB!$K$16:$K$35,IFERROR(MATCH(MIN(IF(GEKB!$D$16:$D$35&gt;AVERAGE(B49,C49),GEKB!$D$16:$D$35)),GEKB!$D$16:$D$35),1))</f>
        <v>+III</v>
      </c>
      <c r="I49" s="9" t="str">
        <f t="array" ref="I49">INDEX(DA!$K$16:$K$35,IFERROR(MATCH(MIN(IF(DA!$D$16:$D$35&gt;AVERAGE(B49,C49),DA!$D$16:$D$35)),DA!$D$16:$D$35),1))</f>
        <v>NR</v>
      </c>
      <c r="J49" s="9" t="str">
        <f t="array" ref="J49">INDEX(STKWp!$K$16:$K$67,IFERROR(MATCH(MIN(IF(STKWp!$D$16:$D$67&gt;AVERAGE(B49,C49),STKWp!$D$16:$D$67)),STKWp!$D$16:$D$67),1))</f>
        <v>+II</v>
      </c>
      <c r="K49" s="9" t="str">
        <f t="array" ref="K49">INDEX(BSKW!$K$16:$K$114,IFERROR(MATCH(MIN(IF(BSKW!$D$16:$D$114&gt;AVERAGE(B49,C49),BSKW!$D$16:$D$114)),BSKW!$D$16:$D$114),1))</f>
        <v>+II</v>
      </c>
      <c r="L49" s="12" t="str">
        <f t="array" ref="L49">INDEX(HTKW!$K$16:$K$91,IFERROR(MATCH(MIN(IF(HTKW!$D$16:$D$91&gt;AVERAGE(B49,C49),HTKW!$D$16:$D$91)),HTKW!$D$16:$D$91),1))</f>
        <v>+II</v>
      </c>
    </row>
    <row r="50" spans="2:12" x14ac:dyDescent="0.25">
      <c r="B50" s="8">
        <v>13.41</v>
      </c>
      <c r="C50" s="9">
        <v>13.9</v>
      </c>
      <c r="D50" s="23" t="str">
        <f t="shared" si="2"/>
        <v>+III</v>
      </c>
      <c r="E50" s="23" t="str">
        <f t="shared" si="3"/>
        <v>+III</v>
      </c>
      <c r="F50" s="9" t="str">
        <f t="array" ref="F50">INDEX(STPH!$O$16:$O$31,IFERROR(MATCH(MIN(IF(STPH!$D$16:$D$31&gt;AVERAGE(B50,C50),STPH!$D$16:$D$31)),STPH!$D$16:$D$31),1))</f>
        <v>+III</v>
      </c>
      <c r="G50" s="9" t="str">
        <f t="array" ref="G50">INDEX(STBI!$O$16:$O$41,IFERROR(MATCH(MIN(IF(STBI!$D$16:$D$41&gt;AVERAGE(B50,C50),STBI!$D$16:$D$41)),STBI!$D$16:$D$41),1))</f>
        <v>+III</v>
      </c>
      <c r="H50" s="9" t="str">
        <f t="array" ref="H50">INDEX(GEKB!$K$16:$K$35,IFERROR(MATCH(MIN(IF(GEKB!$D$16:$D$35&gt;AVERAGE(B50,C50),GEKB!$D$16:$D$35)),GEKB!$D$16:$D$35),1))</f>
        <v>+III</v>
      </c>
      <c r="I50" s="9" t="str">
        <f t="array" ref="I50">INDEX(DA!$K$16:$K$35,IFERROR(MATCH(MIN(IF(DA!$D$16:$D$35&gt;AVERAGE(B50,C50),DA!$D$16:$D$35)),DA!$D$16:$D$35),1))</f>
        <v>NR</v>
      </c>
      <c r="J50" s="9" t="str">
        <f t="array" ref="J50">INDEX(STKWp!$K$16:$K$67,IFERROR(MATCH(MIN(IF(STKWp!$D$16:$D$67&gt;AVERAGE(B50,C50),STKWp!$D$16:$D$67)),STKWp!$D$16:$D$67),1))</f>
        <v>NR</v>
      </c>
      <c r="K50" s="9" t="str">
        <f t="array" ref="K50">INDEX(BSKW!$K$16:$K$114,IFERROR(MATCH(MIN(IF(BSKW!$D$16:$D$114&gt;AVERAGE(B50,C50),BSKW!$D$16:$D$114)),BSKW!$D$16:$D$114),1))</f>
        <v>NR</v>
      </c>
      <c r="L50" s="12" t="str">
        <f t="array" ref="L50">INDEX(HTKW!$K$16:$K$91,IFERROR(MATCH(MIN(IF(HTKW!$D$16:$D$91&gt;AVERAGE(B50,C50),HTKW!$D$16:$D$91)),HTKW!$D$16:$D$91),1))</f>
        <v>NR</v>
      </c>
    </row>
    <row r="51" spans="2:12" x14ac:dyDescent="0.25">
      <c r="B51" s="8">
        <v>13.9</v>
      </c>
      <c r="C51" s="9">
        <v>13.91</v>
      </c>
      <c r="D51" s="23" t="str">
        <f t="shared" si="2"/>
        <v>+I</v>
      </c>
      <c r="E51" s="23" t="str">
        <f t="shared" si="3"/>
        <v>+I</v>
      </c>
      <c r="F51" s="9" t="str">
        <f t="array" ref="F51">INDEX(STPH!$O$16:$O$31,IFERROR(MATCH(MIN(IF(STPH!$D$16:$D$31&gt;AVERAGE(B51,C51),STPH!$D$16:$D$31)),STPH!$D$16:$D$31),1))</f>
        <v>+III</v>
      </c>
      <c r="G51" s="9" t="str">
        <f t="array" ref="G51">INDEX(STBI!$O$16:$O$41,IFERROR(MATCH(MIN(IF(STBI!$D$16:$D$41&gt;AVERAGE(B51,C51),STBI!$D$16:$D$41)),STBI!$D$16:$D$41),1))</f>
        <v>+III</v>
      </c>
      <c r="H51" s="9" t="str">
        <f t="array" ref="H51">INDEX(GEKB!$K$16:$K$35,IFERROR(MATCH(MIN(IF(GEKB!$D$16:$D$35&gt;AVERAGE(B51,C51),GEKB!$D$16:$D$35)),GEKB!$D$16:$D$35),1))</f>
        <v>+III</v>
      </c>
      <c r="I51" s="9" t="str">
        <f t="array" ref="I51">INDEX(DA!$K$16:$K$35,IFERROR(MATCH(MIN(IF(DA!$D$16:$D$35&gt;AVERAGE(B51,C51),DA!$D$16:$D$35)),DA!$D$16:$D$35),1))</f>
        <v>NR</v>
      </c>
      <c r="J51" s="9" t="str">
        <f t="array" ref="J51">INDEX(STKWp!$K$16:$K$67,IFERROR(MATCH(MIN(IF(STKWp!$D$16:$D$67&gt;AVERAGE(B51,C51),STKWp!$D$16:$D$67)),STKWp!$D$16:$D$67),1))</f>
        <v>+I</v>
      </c>
      <c r="K51" s="9" t="str">
        <f t="array" ref="K51">INDEX(BSKW!$K$16:$K$114,IFERROR(MATCH(MIN(IF(BSKW!$D$16:$D$114&gt;AVERAGE(B51,C51),BSKW!$D$16:$D$114)),BSKW!$D$16:$D$114),1))</f>
        <v>+I</v>
      </c>
      <c r="L51" s="12" t="str">
        <f t="array" ref="L51">INDEX(HTKW!$K$16:$K$91,IFERROR(MATCH(MIN(IF(HTKW!$D$16:$D$91&gt;AVERAGE(B51,C51),HTKW!$D$16:$D$91)),HTKW!$D$16:$D$91),1))</f>
        <v>+I</v>
      </c>
    </row>
    <row r="52" spans="2:12" x14ac:dyDescent="0.25">
      <c r="B52" s="8">
        <v>13.91</v>
      </c>
      <c r="C52" s="9">
        <v>14.2</v>
      </c>
      <c r="D52" s="23" t="str">
        <f t="shared" si="2"/>
        <v>+III</v>
      </c>
      <c r="E52" s="23" t="str">
        <f t="shared" si="3"/>
        <v>+III</v>
      </c>
      <c r="F52" s="9" t="str">
        <f t="array" ref="F52">INDEX(STPH!$O$16:$O$31,IFERROR(MATCH(MIN(IF(STPH!$D$16:$D$31&gt;AVERAGE(B52,C52),STPH!$D$16:$D$31)),STPH!$D$16:$D$31),1))</f>
        <v>+III</v>
      </c>
      <c r="G52" s="9" t="str">
        <f t="array" ref="G52">INDEX(STBI!$O$16:$O$41,IFERROR(MATCH(MIN(IF(STBI!$D$16:$D$41&gt;AVERAGE(B52,C52),STBI!$D$16:$D$41)),STBI!$D$16:$D$41),1))</f>
        <v>+III</v>
      </c>
      <c r="H52" s="9" t="str">
        <f t="array" ref="H52">INDEX(GEKB!$K$16:$K$35,IFERROR(MATCH(MIN(IF(GEKB!$D$16:$D$35&gt;AVERAGE(B52,C52),GEKB!$D$16:$D$35)),GEKB!$D$16:$D$35),1))</f>
        <v>+III</v>
      </c>
      <c r="I52" s="9" t="str">
        <f t="array" ref="I52">INDEX(DA!$K$16:$K$35,IFERROR(MATCH(MIN(IF(DA!$D$16:$D$35&gt;AVERAGE(B52,C52),DA!$D$16:$D$35)),DA!$D$16:$D$35),1))</f>
        <v>NR</v>
      </c>
      <c r="J52" s="9" t="str">
        <f t="array" ref="J52">INDEX(STKWp!$K$16:$K$67,IFERROR(MATCH(MIN(IF(STKWp!$D$16:$D$67&gt;AVERAGE(B52,C52),STKWp!$D$16:$D$67)),STKWp!$D$16:$D$67),1))</f>
        <v>NR</v>
      </c>
      <c r="K52" s="9" t="str">
        <f t="array" ref="K52">INDEX(BSKW!$K$16:$K$114,IFERROR(MATCH(MIN(IF(BSKW!$D$16:$D$114&gt;AVERAGE(B52,C52),BSKW!$D$16:$D$114)),BSKW!$D$16:$D$114),1))</f>
        <v>NR</v>
      </c>
      <c r="L52" s="12" t="str">
        <f t="array" ref="L52">INDEX(HTKW!$K$16:$K$91,IFERROR(MATCH(MIN(IF(HTKW!$D$16:$D$91&gt;AVERAGE(B52,C52),HTKW!$D$16:$D$91)),HTKW!$D$16:$D$91),1))</f>
        <v>NR</v>
      </c>
    </row>
    <row r="53" spans="2:12" x14ac:dyDescent="0.25">
      <c r="B53" s="8">
        <v>14.2</v>
      </c>
      <c r="C53" s="9">
        <v>14.21</v>
      </c>
      <c r="D53" s="23" t="str">
        <f t="shared" si="2"/>
        <v>-II</v>
      </c>
      <c r="E53" s="23" t="str">
        <f t="shared" si="3"/>
        <v>-II</v>
      </c>
      <c r="F53" s="9" t="str">
        <f t="array" ref="F53">INDEX(STPH!$O$16:$O$31,IFERROR(MATCH(MIN(IF(STPH!$D$16:$D$31&gt;AVERAGE(B53,C53),STPH!$D$16:$D$31)),STPH!$D$16:$D$31),1))</f>
        <v>+III</v>
      </c>
      <c r="G53" s="9" t="str">
        <f t="array" ref="G53">INDEX(STBI!$O$16:$O$41,IFERROR(MATCH(MIN(IF(STBI!$D$16:$D$41&gt;AVERAGE(B53,C53),STBI!$D$16:$D$41)),STBI!$D$16:$D$41),1))</f>
        <v>-II</v>
      </c>
      <c r="H53" s="9" t="str">
        <f t="array" ref="H53">INDEX(GEKB!$K$16:$K$35,IFERROR(MATCH(MIN(IF(GEKB!$D$16:$D$35&gt;AVERAGE(B53,C53),GEKB!$D$16:$D$35)),GEKB!$D$16:$D$35),1))</f>
        <v>+II</v>
      </c>
      <c r="I53" s="9" t="str">
        <f t="array" ref="I53">INDEX(DA!$K$16:$K$35,IFERROR(MATCH(MIN(IF(DA!$D$16:$D$35&gt;AVERAGE(B53,C53),DA!$D$16:$D$35)),DA!$D$16:$D$35),1))</f>
        <v>NR</v>
      </c>
      <c r="J53" s="9" t="str">
        <f t="array" ref="J53">INDEX(STKWp!$K$16:$K$67,IFERROR(MATCH(MIN(IF(STKWp!$D$16:$D$67&gt;AVERAGE(B53,C53),STKWp!$D$16:$D$67)),STKWp!$D$16:$D$67),1))</f>
        <v>+II</v>
      </c>
      <c r="K53" s="9" t="str">
        <f t="array" ref="K53">INDEX(BSKW!$K$16:$K$114,IFERROR(MATCH(MIN(IF(BSKW!$D$16:$D$114&gt;AVERAGE(B53,C53),BSKW!$D$16:$D$114)),BSKW!$D$16:$D$114),1))</f>
        <v>+II</v>
      </c>
      <c r="L53" s="12" t="str">
        <f t="array" ref="L53">INDEX(HTKW!$K$16:$K$91,IFERROR(MATCH(MIN(IF(HTKW!$D$16:$D$91&gt;AVERAGE(B53,C53),HTKW!$D$16:$D$91)),HTKW!$D$16:$D$91),1))</f>
        <v>+II</v>
      </c>
    </row>
    <row r="54" spans="2:12" x14ac:dyDescent="0.25">
      <c r="B54" s="8">
        <v>14.21</v>
      </c>
      <c r="C54" s="9">
        <v>14.4</v>
      </c>
      <c r="D54" s="23" t="str">
        <f t="shared" si="2"/>
        <v>-II</v>
      </c>
      <c r="E54" s="23" t="str">
        <f t="shared" si="3"/>
        <v>-II</v>
      </c>
      <c r="F54" s="9" t="str">
        <f t="array" ref="F54">INDEX(STPH!$O$16:$O$31,IFERROR(MATCH(MIN(IF(STPH!$D$16:$D$31&gt;AVERAGE(B54,C54),STPH!$D$16:$D$31)),STPH!$D$16:$D$31),1))</f>
        <v>+III</v>
      </c>
      <c r="G54" s="9" t="str">
        <f t="array" ref="G54">INDEX(STBI!$O$16:$O$41,IFERROR(MATCH(MIN(IF(STBI!$D$16:$D$41&gt;AVERAGE(B54,C54),STBI!$D$16:$D$41)),STBI!$D$16:$D$41),1))</f>
        <v>-II</v>
      </c>
      <c r="H54" s="9" t="str">
        <f t="array" ref="H54">INDEX(GEKB!$K$16:$K$35,IFERROR(MATCH(MIN(IF(GEKB!$D$16:$D$35&gt;AVERAGE(B54,C54),GEKB!$D$16:$D$35)),GEKB!$D$16:$D$35),1))</f>
        <v>+II</v>
      </c>
      <c r="I54" s="9" t="str">
        <f t="array" ref="I54">INDEX(DA!$K$16:$K$35,IFERROR(MATCH(MIN(IF(DA!$D$16:$D$35&gt;AVERAGE(B54,C54),DA!$D$16:$D$35)),DA!$D$16:$D$35),1))</f>
        <v>NR</v>
      </c>
      <c r="J54" s="9" t="str">
        <f t="array" ref="J54">INDEX(STKWp!$K$16:$K$67,IFERROR(MATCH(MIN(IF(STKWp!$D$16:$D$67&gt;AVERAGE(B54,C54),STKWp!$D$16:$D$67)),STKWp!$D$16:$D$67),1))</f>
        <v>NR</v>
      </c>
      <c r="K54" s="9" t="str">
        <f t="array" ref="K54">INDEX(BSKW!$K$16:$K$114,IFERROR(MATCH(MIN(IF(BSKW!$D$16:$D$114&gt;AVERAGE(B54,C54),BSKW!$D$16:$D$114)),BSKW!$D$16:$D$114),1))</f>
        <v>NR</v>
      </c>
      <c r="L54" s="12" t="str">
        <f t="array" ref="L54">INDEX(HTKW!$K$16:$K$91,IFERROR(MATCH(MIN(IF(HTKW!$D$16:$D$91&gt;AVERAGE(B54,C54),HTKW!$D$16:$D$91)),HTKW!$D$16:$D$91),1))</f>
        <v>NR</v>
      </c>
    </row>
    <row r="55" spans="2:12" x14ac:dyDescent="0.25">
      <c r="B55" s="8">
        <v>14.4</v>
      </c>
      <c r="C55" s="9">
        <v>14.799999999999999</v>
      </c>
      <c r="D55" s="23" t="str">
        <f t="shared" si="2"/>
        <v>-II</v>
      </c>
      <c r="E55" s="23" t="str">
        <f t="shared" si="3"/>
        <v>-II</v>
      </c>
      <c r="F55" s="9" t="str">
        <f t="array" ref="F55">INDEX(STPH!$O$16:$O$31,IFERROR(MATCH(MIN(IF(STPH!$D$16:$D$31&gt;AVERAGE(B55,C55),STPH!$D$16:$D$31)),STPH!$D$16:$D$31),1))</f>
        <v>+III</v>
      </c>
      <c r="G55" s="9" t="str">
        <f t="array" ref="G55">INDEX(STBI!$O$16:$O$41,IFERROR(MATCH(MIN(IF(STBI!$D$16:$D$41&gt;AVERAGE(B55,C55),STBI!$D$16:$D$41)),STBI!$D$16:$D$41),1))</f>
        <v>-II</v>
      </c>
      <c r="H55" s="9" t="str">
        <f t="array" ref="H55">INDEX(GEKB!$K$16:$K$35,IFERROR(MATCH(MIN(IF(GEKB!$D$16:$D$35&gt;AVERAGE(B55,C55),GEKB!$D$16:$D$35)),GEKB!$D$16:$D$35),1))</f>
        <v>+II</v>
      </c>
      <c r="I55" s="9" t="str">
        <f t="array" ref="I55">INDEX(DA!$K$16:$K$35,IFERROR(MATCH(MIN(IF(DA!$D$16:$D$35&gt;AVERAGE(B55,C55),DA!$D$16:$D$35)),DA!$D$16:$D$35),1))</f>
        <v>NR</v>
      </c>
      <c r="J55" s="9" t="str">
        <f t="array" ref="J55">INDEX(STKWp!$K$16:$K$67,IFERROR(MATCH(MIN(IF(STKWp!$D$16:$D$67&gt;AVERAGE(B55,C55),STKWp!$D$16:$D$67)),STKWp!$D$16:$D$67),1))</f>
        <v>NR</v>
      </c>
      <c r="K55" s="9" t="str">
        <f t="array" ref="K55">INDEX(BSKW!$K$16:$K$114,IFERROR(MATCH(MIN(IF(BSKW!$D$16:$D$114&gt;AVERAGE(B55,C55),BSKW!$D$16:$D$114)),BSKW!$D$16:$D$114),1))</f>
        <v>NR</v>
      </c>
      <c r="L55" s="12" t="str">
        <f t="array" ref="L55">INDEX(HTKW!$K$16:$K$91,IFERROR(MATCH(MIN(IF(HTKW!$D$16:$D$91&gt;AVERAGE(B55,C55),HTKW!$D$16:$D$91)),HTKW!$D$16:$D$91),1))</f>
        <v>NR</v>
      </c>
    </row>
    <row r="56" spans="2:12" x14ac:dyDescent="0.25">
      <c r="B56" s="8">
        <v>14.799999999999999</v>
      </c>
      <c r="C56" s="9">
        <v>15</v>
      </c>
      <c r="D56" s="23" t="str">
        <f t="shared" si="2"/>
        <v>+0</v>
      </c>
      <c r="E56" s="23" t="str">
        <f t="shared" si="3"/>
        <v>+0</v>
      </c>
      <c r="F56" s="9" t="str">
        <f t="array" ref="F56">INDEX(STPH!$O$16:$O$31,IFERROR(MATCH(MIN(IF(STPH!$D$16:$D$31&gt;AVERAGE(B56,C56),STPH!$D$16:$D$31)),STPH!$D$16:$D$31),1))</f>
        <v>+III</v>
      </c>
      <c r="G56" s="9" t="str">
        <f t="array" ref="G56">INDEX(STBI!$O$16:$O$41,IFERROR(MATCH(MIN(IF(STBI!$D$16:$D$41&gt;AVERAGE(B56,C56),STBI!$D$16:$D$41)),STBI!$D$16:$D$41),1))</f>
        <v>+0</v>
      </c>
      <c r="H56" s="9" t="str">
        <f t="array" ref="H56">INDEX(GEKB!$K$16:$K$35,IFERROR(MATCH(MIN(IF(GEKB!$D$16:$D$35&gt;AVERAGE(B56,C56),GEKB!$D$16:$D$35)),GEKB!$D$16:$D$35),1))</f>
        <v>+II</v>
      </c>
      <c r="I56" s="9" t="str">
        <f t="array" ref="I56">INDEX(DA!$K$16:$K$35,IFERROR(MATCH(MIN(IF(DA!$D$16:$D$35&gt;AVERAGE(B56,C56),DA!$D$16:$D$35)),DA!$D$16:$D$35),1))</f>
        <v>NR</v>
      </c>
      <c r="J56" s="9" t="str">
        <f t="array" ref="J56">INDEX(STKWp!$K$16:$K$67,IFERROR(MATCH(MIN(IF(STKWp!$D$16:$D$67&gt;AVERAGE(B56,C56),STKWp!$D$16:$D$67)),STKWp!$D$16:$D$67),1))</f>
        <v>NR</v>
      </c>
      <c r="K56" s="9" t="str">
        <f t="array" ref="K56">INDEX(BSKW!$K$16:$K$114,IFERROR(MATCH(MIN(IF(BSKW!$D$16:$D$114&gt;AVERAGE(B56,C56),BSKW!$D$16:$D$114)),BSKW!$D$16:$D$114),1))</f>
        <v>NR</v>
      </c>
      <c r="L56" s="12" t="str">
        <f t="array" ref="L56">INDEX(HTKW!$K$16:$K$91,IFERROR(MATCH(MIN(IF(HTKW!$D$16:$D$91&gt;AVERAGE(B56,C56),HTKW!$D$16:$D$91)),HTKW!$D$16:$D$91),1))</f>
        <v>NR</v>
      </c>
    </row>
    <row r="57" spans="2:12" x14ac:dyDescent="0.25">
      <c r="B57" s="8">
        <v>15</v>
      </c>
      <c r="C57" s="9">
        <v>15.01</v>
      </c>
      <c r="D57" s="23" t="str">
        <f t="shared" si="2"/>
        <v>+0</v>
      </c>
      <c r="E57" s="23" t="str">
        <f t="shared" si="3"/>
        <v>+0</v>
      </c>
      <c r="F57" s="9" t="str">
        <f t="array" ref="F57">INDEX(STPH!$O$16:$O$31,IFERROR(MATCH(MIN(IF(STPH!$D$16:$D$31&gt;AVERAGE(B57,C57),STPH!$D$16:$D$31)),STPH!$D$16:$D$31),1))</f>
        <v>+III</v>
      </c>
      <c r="G57" s="9" t="str">
        <f t="array" ref="G57">INDEX(STBI!$O$16:$O$41,IFERROR(MATCH(MIN(IF(STBI!$D$16:$D$41&gt;AVERAGE(B57,C57),STBI!$D$16:$D$41)),STBI!$D$16:$D$41),1))</f>
        <v>+0</v>
      </c>
      <c r="H57" s="9" t="str">
        <f t="array" ref="H57">INDEX(GEKB!$K$16:$K$35,IFERROR(MATCH(MIN(IF(GEKB!$D$16:$D$35&gt;AVERAGE(B57,C57),GEKB!$D$16:$D$35)),GEKB!$D$16:$D$35),1))</f>
        <v>+II</v>
      </c>
      <c r="I57" s="9" t="str">
        <f t="array" ref="I57">INDEX(DA!$K$16:$K$35,IFERROR(MATCH(MIN(IF(DA!$D$16:$D$35&gt;AVERAGE(B57,C57),DA!$D$16:$D$35)),DA!$D$16:$D$35),1))</f>
        <v>NR</v>
      </c>
      <c r="J57" s="9" t="str">
        <f t="array" ref="J57">INDEX(STKWp!$K$16:$K$67,IFERROR(MATCH(MIN(IF(STKWp!$D$16:$D$67&gt;AVERAGE(B57,C57),STKWp!$D$16:$D$67)),STKWp!$D$16:$D$67),1))</f>
        <v>+II</v>
      </c>
      <c r="K57" s="9" t="str">
        <f t="array" ref="K57">INDEX(BSKW!$K$16:$K$114,IFERROR(MATCH(MIN(IF(BSKW!$D$16:$D$114&gt;AVERAGE(B57,C57),BSKW!$D$16:$D$114)),BSKW!$D$16:$D$114),1))</f>
        <v>+II</v>
      </c>
      <c r="L57" s="12" t="str">
        <f t="array" ref="L57">INDEX(HTKW!$K$16:$K$91,IFERROR(MATCH(MIN(IF(HTKW!$D$16:$D$91&gt;AVERAGE(B57,C57),HTKW!$D$16:$D$91)),HTKW!$D$16:$D$91),1))</f>
        <v>+II</v>
      </c>
    </row>
    <row r="58" spans="2:12" x14ac:dyDescent="0.25">
      <c r="B58" s="8">
        <v>15.01</v>
      </c>
      <c r="C58" s="9">
        <v>15.7</v>
      </c>
      <c r="D58" s="23" t="str">
        <f t="shared" si="2"/>
        <v>+0</v>
      </c>
      <c r="E58" s="23" t="str">
        <f t="shared" si="3"/>
        <v>+0</v>
      </c>
      <c r="F58" s="9" t="str">
        <f t="array" ref="F58">INDEX(STPH!$O$16:$O$31,IFERROR(MATCH(MIN(IF(STPH!$D$16:$D$31&gt;AVERAGE(B58,C58),STPH!$D$16:$D$31)),STPH!$D$16:$D$31),1))</f>
        <v>+III</v>
      </c>
      <c r="G58" s="9" t="str">
        <f t="array" ref="G58">INDEX(STBI!$O$16:$O$41,IFERROR(MATCH(MIN(IF(STBI!$D$16:$D$41&gt;AVERAGE(B58,C58),STBI!$D$16:$D$41)),STBI!$D$16:$D$41),1))</f>
        <v>+0</v>
      </c>
      <c r="H58" s="9" t="str">
        <f t="array" ref="H58">INDEX(GEKB!$K$16:$K$35,IFERROR(MATCH(MIN(IF(GEKB!$D$16:$D$35&gt;AVERAGE(B58,C58),GEKB!$D$16:$D$35)),GEKB!$D$16:$D$35),1))</f>
        <v>+II</v>
      </c>
      <c r="I58" s="9" t="str">
        <f t="array" ref="I58">INDEX(DA!$K$16:$K$35,IFERROR(MATCH(MIN(IF(DA!$D$16:$D$35&gt;AVERAGE(B58,C58),DA!$D$16:$D$35)),DA!$D$16:$D$35),1))</f>
        <v>NR</v>
      </c>
      <c r="J58" s="9" t="str">
        <f t="array" ref="J58">INDEX(STKWp!$K$16:$K$67,IFERROR(MATCH(MIN(IF(STKWp!$D$16:$D$67&gt;AVERAGE(B58,C58),STKWp!$D$16:$D$67)),STKWp!$D$16:$D$67),1))</f>
        <v>NR</v>
      </c>
      <c r="K58" s="9" t="str">
        <f t="array" ref="K58">INDEX(BSKW!$K$16:$K$114,IFERROR(MATCH(MIN(IF(BSKW!$D$16:$D$114&gt;AVERAGE(B58,C58),BSKW!$D$16:$D$114)),BSKW!$D$16:$D$114),1))</f>
        <v>NR</v>
      </c>
      <c r="L58" s="12" t="str">
        <f t="array" ref="L58">INDEX(HTKW!$K$16:$K$91,IFERROR(MATCH(MIN(IF(HTKW!$D$16:$D$91&gt;AVERAGE(B58,C58),HTKW!$D$16:$D$91)),HTKW!$D$16:$D$91),1))</f>
        <v>NR</v>
      </c>
    </row>
    <row r="59" spans="2:12" x14ac:dyDescent="0.25">
      <c r="B59" s="8">
        <v>15.7</v>
      </c>
      <c r="C59" s="9">
        <v>15.71</v>
      </c>
      <c r="D59" s="23" t="str">
        <f t="shared" si="2"/>
        <v>+0</v>
      </c>
      <c r="E59" s="23" t="str">
        <f t="shared" si="3"/>
        <v>+0</v>
      </c>
      <c r="F59" s="9" t="str">
        <f t="array" ref="F59">INDEX(STPH!$O$16:$O$31,IFERROR(MATCH(MIN(IF(STPH!$D$16:$D$31&gt;AVERAGE(B59,C59),STPH!$D$16:$D$31)),STPH!$D$16:$D$31),1))</f>
        <v>+III</v>
      </c>
      <c r="G59" s="9" t="str">
        <f t="array" ref="G59">INDEX(STBI!$O$16:$O$41,IFERROR(MATCH(MIN(IF(STBI!$D$16:$D$41&gt;AVERAGE(B59,C59),STBI!$D$16:$D$41)),STBI!$D$16:$D$41),1))</f>
        <v>+0</v>
      </c>
      <c r="H59" s="9" t="str">
        <f t="array" ref="H59">INDEX(GEKB!$K$16:$K$35,IFERROR(MATCH(MIN(IF(GEKB!$D$16:$D$35&gt;AVERAGE(B59,C59),GEKB!$D$16:$D$35)),GEKB!$D$16:$D$35),1))</f>
        <v>+II</v>
      </c>
      <c r="I59" s="9" t="str">
        <f t="array" ref="I59">INDEX(DA!$K$16:$K$35,IFERROR(MATCH(MIN(IF(DA!$D$16:$D$35&gt;AVERAGE(B59,C59),DA!$D$16:$D$35)),DA!$D$16:$D$35),1))</f>
        <v>NR</v>
      </c>
      <c r="J59" s="9" t="str">
        <f t="array" ref="J59">INDEX(STKWp!$K$16:$K$67,IFERROR(MATCH(MIN(IF(STKWp!$D$16:$D$67&gt;AVERAGE(B59,C59),STKWp!$D$16:$D$67)),STKWp!$D$16:$D$67),1))</f>
        <v>+II</v>
      </c>
      <c r="K59" s="9" t="str">
        <f t="array" ref="K59">INDEX(BSKW!$K$16:$K$114,IFERROR(MATCH(MIN(IF(BSKW!$D$16:$D$114&gt;AVERAGE(B59,C59),BSKW!$D$16:$D$114)),BSKW!$D$16:$D$114),1))</f>
        <v>+II</v>
      </c>
      <c r="L59" s="12" t="str">
        <f t="array" ref="L59">INDEX(HTKW!$K$16:$K$91,IFERROR(MATCH(MIN(IF(HTKW!$D$16:$D$91&gt;AVERAGE(B59,C59),HTKW!$D$16:$D$91)),HTKW!$D$16:$D$91),1))</f>
        <v>+II</v>
      </c>
    </row>
    <row r="60" spans="2:12" x14ac:dyDescent="0.25">
      <c r="B60" s="8">
        <v>15.71</v>
      </c>
      <c r="C60" s="9">
        <v>16</v>
      </c>
      <c r="D60" s="23" t="str">
        <f t="shared" si="2"/>
        <v>+0</v>
      </c>
      <c r="E60" s="23" t="str">
        <f t="shared" si="3"/>
        <v>+0</v>
      </c>
      <c r="F60" s="9" t="str">
        <f t="array" ref="F60">INDEX(STPH!$O$16:$O$31,IFERROR(MATCH(MIN(IF(STPH!$D$16:$D$31&gt;AVERAGE(B60,C60),STPH!$D$16:$D$31)),STPH!$D$16:$D$31),1))</f>
        <v>+III</v>
      </c>
      <c r="G60" s="9" t="str">
        <f t="array" ref="G60">INDEX(STBI!$O$16:$O$41,IFERROR(MATCH(MIN(IF(STBI!$D$16:$D$41&gt;AVERAGE(B60,C60),STBI!$D$16:$D$41)),STBI!$D$16:$D$41),1))</f>
        <v>+0</v>
      </c>
      <c r="H60" s="9" t="str">
        <f t="array" ref="H60">INDEX(GEKB!$K$16:$K$35,IFERROR(MATCH(MIN(IF(GEKB!$D$16:$D$35&gt;AVERAGE(B60,C60),GEKB!$D$16:$D$35)),GEKB!$D$16:$D$35),1))</f>
        <v>+II</v>
      </c>
      <c r="I60" s="9" t="str">
        <f t="array" ref="I60">INDEX(DA!$K$16:$K$35,IFERROR(MATCH(MIN(IF(DA!$D$16:$D$35&gt;AVERAGE(B60,C60),DA!$D$16:$D$35)),DA!$D$16:$D$35),1))</f>
        <v>NR</v>
      </c>
      <c r="J60" s="9" t="str">
        <f t="array" ref="J60">INDEX(STKWp!$K$16:$K$67,IFERROR(MATCH(MIN(IF(STKWp!$D$16:$D$67&gt;AVERAGE(B60,C60),STKWp!$D$16:$D$67)),STKWp!$D$16:$D$67),1))</f>
        <v>NR</v>
      </c>
      <c r="K60" s="9" t="str">
        <f t="array" ref="K60">INDEX(BSKW!$K$16:$K$114,IFERROR(MATCH(MIN(IF(BSKW!$D$16:$D$114&gt;AVERAGE(B60,C60),BSKW!$D$16:$D$114)),BSKW!$D$16:$D$114),1))</f>
        <v>NR</v>
      </c>
      <c r="L60" s="12" t="str">
        <f t="array" ref="L60">INDEX(HTKW!$K$16:$K$91,IFERROR(MATCH(MIN(IF(HTKW!$D$16:$D$91&gt;AVERAGE(B60,C60),HTKW!$D$16:$D$91)),HTKW!$D$16:$D$91),1))</f>
        <v>NR</v>
      </c>
    </row>
    <row r="61" spans="2:12" x14ac:dyDescent="0.25">
      <c r="B61" s="8">
        <v>16</v>
      </c>
      <c r="C61" s="9">
        <v>16.100000000000001</v>
      </c>
      <c r="D61" s="23" t="str">
        <f t="shared" si="2"/>
        <v>+0</v>
      </c>
      <c r="E61" s="23" t="str">
        <f t="shared" si="3"/>
        <v>+0</v>
      </c>
      <c r="F61" s="9" t="str">
        <f t="array" ref="F61">INDEX(STPH!$O$16:$O$31,IFERROR(MATCH(MIN(IF(STPH!$D$16:$D$31&gt;AVERAGE(B61,C61),STPH!$D$16:$D$31)),STPH!$D$16:$D$31),1))</f>
        <v>+III</v>
      </c>
      <c r="G61" s="9" t="str">
        <f t="array" ref="G61">INDEX(STBI!$O$16:$O$41,IFERROR(MATCH(MIN(IF(STBI!$D$16:$D$41&gt;AVERAGE(B61,C61),STBI!$D$16:$D$41)),STBI!$D$16:$D$41),1))</f>
        <v>+0</v>
      </c>
      <c r="H61" s="9" t="str">
        <f t="array" ref="H61">INDEX(GEKB!$K$16:$K$35,IFERROR(MATCH(MIN(IF(GEKB!$D$16:$D$35&gt;AVERAGE(B61,C61),GEKB!$D$16:$D$35)),GEKB!$D$16:$D$35),1))</f>
        <v>+II</v>
      </c>
      <c r="I61" s="9" t="str">
        <f t="array" ref="I61">INDEX(DA!$K$16:$K$35,IFERROR(MATCH(MIN(IF(DA!$D$16:$D$35&gt;AVERAGE(B61,C61),DA!$D$16:$D$35)),DA!$D$16:$D$35),1))</f>
        <v>NR</v>
      </c>
      <c r="J61" s="9" t="str">
        <f t="array" ref="J61">INDEX(STKWp!$K$16:$K$67,IFERROR(MATCH(MIN(IF(STKWp!$D$16:$D$67&gt;AVERAGE(B61,C61),STKWp!$D$16:$D$67)),STKWp!$D$16:$D$67),1))</f>
        <v>NR</v>
      </c>
      <c r="K61" s="9" t="str">
        <f t="array" ref="K61">INDEX(BSKW!$K$16:$K$114,IFERROR(MATCH(MIN(IF(BSKW!$D$16:$D$114&gt;AVERAGE(B61,C61),BSKW!$D$16:$D$114)),BSKW!$D$16:$D$114),1))</f>
        <v>NR</v>
      </c>
      <c r="L61" s="12" t="str">
        <f t="array" ref="L61">INDEX(HTKW!$K$16:$K$91,IFERROR(MATCH(MIN(IF(HTKW!$D$16:$D$91&gt;AVERAGE(B61,C61),HTKW!$D$16:$D$91)),HTKW!$D$16:$D$91),1))</f>
        <v>NR</v>
      </c>
    </row>
    <row r="62" spans="2:12" x14ac:dyDescent="0.25">
      <c r="B62" s="8">
        <v>16.100000000000001</v>
      </c>
      <c r="C62" s="9">
        <v>16.11</v>
      </c>
      <c r="D62" s="23" t="str">
        <f t="shared" si="2"/>
        <v>+0</v>
      </c>
      <c r="E62" s="23" t="str">
        <f t="shared" si="3"/>
        <v>+0</v>
      </c>
      <c r="F62" s="9" t="str">
        <f t="array" ref="F62">INDEX(STPH!$O$16:$O$31,IFERROR(MATCH(MIN(IF(STPH!$D$16:$D$31&gt;AVERAGE(B62,C62),STPH!$D$16:$D$31)),STPH!$D$16:$D$31),1))</f>
        <v>+III</v>
      </c>
      <c r="G62" s="9" t="str">
        <f t="array" ref="G62">INDEX(STBI!$O$16:$O$41,IFERROR(MATCH(MIN(IF(STBI!$D$16:$D$41&gt;AVERAGE(B62,C62),STBI!$D$16:$D$41)),STBI!$D$16:$D$41),1))</f>
        <v>+0</v>
      </c>
      <c r="H62" s="9" t="str">
        <f t="array" ref="H62">INDEX(GEKB!$K$16:$K$35,IFERROR(MATCH(MIN(IF(GEKB!$D$16:$D$35&gt;AVERAGE(B62,C62),GEKB!$D$16:$D$35)),GEKB!$D$16:$D$35),1))</f>
        <v>+II</v>
      </c>
      <c r="I62" s="9" t="str">
        <f t="array" ref="I62">INDEX(DA!$K$16:$K$35,IFERROR(MATCH(MIN(IF(DA!$D$16:$D$35&gt;AVERAGE(B62,C62),DA!$D$16:$D$35)),DA!$D$16:$D$35),1))</f>
        <v>NR</v>
      </c>
      <c r="J62" s="9" t="str">
        <f t="array" ref="J62">INDEX(STKWp!$K$16:$K$67,IFERROR(MATCH(MIN(IF(STKWp!$D$16:$D$67&gt;AVERAGE(B62,C62),STKWp!$D$16:$D$67)),STKWp!$D$16:$D$67),1))</f>
        <v>+II</v>
      </c>
      <c r="K62" s="9" t="str">
        <f t="array" ref="K62">INDEX(BSKW!$K$16:$K$114,IFERROR(MATCH(MIN(IF(BSKW!$D$16:$D$114&gt;AVERAGE(B62,C62),BSKW!$D$16:$D$114)),BSKW!$D$16:$D$114),1))</f>
        <v>+II</v>
      </c>
      <c r="L62" s="12" t="str">
        <f t="array" ref="L62">INDEX(HTKW!$K$16:$K$91,IFERROR(MATCH(MIN(IF(HTKW!$D$16:$D$91&gt;AVERAGE(B62,C62),HTKW!$D$16:$D$91)),HTKW!$D$16:$D$91),1))</f>
        <v>+II</v>
      </c>
    </row>
    <row r="63" spans="2:12" x14ac:dyDescent="0.25">
      <c r="B63" s="8">
        <v>16.11</v>
      </c>
      <c r="C63" s="9">
        <v>16.399999999999999</v>
      </c>
      <c r="D63" s="23" t="str">
        <f t="shared" si="2"/>
        <v>+0</v>
      </c>
      <c r="E63" s="23" t="str">
        <f t="shared" si="3"/>
        <v>+0</v>
      </c>
      <c r="F63" s="9" t="str">
        <f t="array" ref="F63">INDEX(STPH!$O$16:$O$31,IFERROR(MATCH(MIN(IF(STPH!$D$16:$D$31&gt;AVERAGE(B63,C63),STPH!$D$16:$D$31)),STPH!$D$16:$D$31),1))</f>
        <v>+III</v>
      </c>
      <c r="G63" s="9" t="str">
        <f t="array" ref="G63">INDEX(STBI!$O$16:$O$41,IFERROR(MATCH(MIN(IF(STBI!$D$16:$D$41&gt;AVERAGE(B63,C63),STBI!$D$16:$D$41)),STBI!$D$16:$D$41),1))</f>
        <v>+0</v>
      </c>
      <c r="H63" s="9" t="str">
        <f t="array" ref="H63">INDEX(GEKB!$K$16:$K$35,IFERROR(MATCH(MIN(IF(GEKB!$D$16:$D$35&gt;AVERAGE(B63,C63),GEKB!$D$16:$D$35)),GEKB!$D$16:$D$35),1))</f>
        <v>+II</v>
      </c>
      <c r="I63" s="9" t="str">
        <f t="array" ref="I63">INDEX(DA!$K$16:$K$35,IFERROR(MATCH(MIN(IF(DA!$D$16:$D$35&gt;AVERAGE(B63,C63),DA!$D$16:$D$35)),DA!$D$16:$D$35),1))</f>
        <v>NR</v>
      </c>
      <c r="J63" s="9" t="str">
        <f t="array" ref="J63">INDEX(STKWp!$K$16:$K$67,IFERROR(MATCH(MIN(IF(STKWp!$D$16:$D$67&gt;AVERAGE(B63,C63),STKWp!$D$16:$D$67)),STKWp!$D$16:$D$67),1))</f>
        <v>NR</v>
      </c>
      <c r="K63" s="9" t="str">
        <f t="array" ref="K63">INDEX(BSKW!$K$16:$K$114,IFERROR(MATCH(MIN(IF(BSKW!$D$16:$D$114&gt;AVERAGE(B63,C63),BSKW!$D$16:$D$114)),BSKW!$D$16:$D$114),1))</f>
        <v>NR</v>
      </c>
      <c r="L63" s="12" t="str">
        <f t="array" ref="L63">INDEX(HTKW!$K$16:$K$91,IFERROR(MATCH(MIN(IF(HTKW!$D$16:$D$91&gt;AVERAGE(B63,C63),HTKW!$D$16:$D$91)),HTKW!$D$16:$D$91),1))</f>
        <v>NR</v>
      </c>
    </row>
    <row r="64" spans="2:12" x14ac:dyDescent="0.25">
      <c r="B64" s="8">
        <v>16.399999999999999</v>
      </c>
      <c r="C64" s="9">
        <v>16.7</v>
      </c>
      <c r="D64" s="23" t="str">
        <f t="shared" si="2"/>
        <v>+0</v>
      </c>
      <c r="E64" s="23" t="str">
        <f t="shared" si="3"/>
        <v>+0</v>
      </c>
      <c r="F64" s="9" t="str">
        <f t="array" ref="F64">INDEX(STPH!$O$16:$O$31,IFERROR(MATCH(MIN(IF(STPH!$D$16:$D$31&gt;AVERAGE(B64,C64),STPH!$D$16:$D$31)),STPH!$D$16:$D$31),1))</f>
        <v>+I</v>
      </c>
      <c r="G64" s="9" t="str">
        <f t="array" ref="G64">INDEX(STBI!$O$16:$O$41,IFERROR(MATCH(MIN(IF(STBI!$D$16:$D$41&gt;AVERAGE(B64,C64),STBI!$D$16:$D$41)),STBI!$D$16:$D$41),1))</f>
        <v>+0</v>
      </c>
      <c r="H64" s="9" t="str">
        <f t="array" ref="H64">INDEX(GEKB!$K$16:$K$35,IFERROR(MATCH(MIN(IF(GEKB!$D$16:$D$35&gt;AVERAGE(B64,C64),GEKB!$D$16:$D$35)),GEKB!$D$16:$D$35),1))</f>
        <v>+II</v>
      </c>
      <c r="I64" s="9" t="str">
        <f t="array" ref="I64">INDEX(DA!$K$16:$K$35,IFERROR(MATCH(MIN(IF(DA!$D$16:$D$35&gt;AVERAGE(B64,C64),DA!$D$16:$D$35)),DA!$D$16:$D$35),1))</f>
        <v>NR</v>
      </c>
      <c r="J64" s="9" t="str">
        <f t="array" ref="J64">INDEX(STKWp!$K$16:$K$67,IFERROR(MATCH(MIN(IF(STKWp!$D$16:$D$67&gt;AVERAGE(B64,C64),STKWp!$D$16:$D$67)),STKWp!$D$16:$D$67),1))</f>
        <v>NR</v>
      </c>
      <c r="K64" s="9" t="str">
        <f t="array" ref="K64">INDEX(BSKW!$K$16:$K$114,IFERROR(MATCH(MIN(IF(BSKW!$D$16:$D$114&gt;AVERAGE(B64,C64),BSKW!$D$16:$D$114)),BSKW!$D$16:$D$114),1))</f>
        <v>NR</v>
      </c>
      <c r="L64" s="12" t="str">
        <f t="array" ref="L64">INDEX(HTKW!$K$16:$K$91,IFERROR(MATCH(MIN(IF(HTKW!$D$16:$D$91&gt;AVERAGE(B64,C64),HTKW!$D$16:$D$91)),HTKW!$D$16:$D$91),1))</f>
        <v>NR</v>
      </c>
    </row>
    <row r="65" spans="2:12" x14ac:dyDescent="0.25">
      <c r="B65" s="8">
        <v>16.7</v>
      </c>
      <c r="C65" s="9">
        <v>16.71</v>
      </c>
      <c r="D65" s="23" t="str">
        <f t="shared" si="2"/>
        <v>+0</v>
      </c>
      <c r="E65" s="23" t="str">
        <f t="shared" si="3"/>
        <v>+0</v>
      </c>
      <c r="F65" s="9" t="str">
        <f t="array" ref="F65">INDEX(STPH!$O$16:$O$31,IFERROR(MATCH(MIN(IF(STPH!$D$16:$D$31&gt;AVERAGE(B65,C65),STPH!$D$16:$D$31)),STPH!$D$16:$D$31),1))</f>
        <v>+I</v>
      </c>
      <c r="G65" s="9" t="str">
        <f t="array" ref="G65">INDEX(STBI!$O$16:$O$41,IFERROR(MATCH(MIN(IF(STBI!$D$16:$D$41&gt;AVERAGE(B65,C65),STBI!$D$16:$D$41)),STBI!$D$16:$D$41),1))</f>
        <v>+0</v>
      </c>
      <c r="H65" s="9" t="str">
        <f t="array" ref="H65">INDEX(GEKB!$K$16:$K$35,IFERROR(MATCH(MIN(IF(GEKB!$D$16:$D$35&gt;AVERAGE(B65,C65),GEKB!$D$16:$D$35)),GEKB!$D$16:$D$35),1))</f>
        <v>+II</v>
      </c>
      <c r="I65" s="9" t="str">
        <f t="array" ref="I65">INDEX(DA!$K$16:$K$35,IFERROR(MATCH(MIN(IF(DA!$D$16:$D$35&gt;AVERAGE(B65,C65),DA!$D$16:$D$35)),DA!$D$16:$D$35),1))</f>
        <v>NR</v>
      </c>
      <c r="J65" s="9" t="str">
        <f t="array" ref="J65">INDEX(STKWp!$K$16:$K$67,IFERROR(MATCH(MIN(IF(STKWp!$D$16:$D$67&gt;AVERAGE(B65,C65),STKWp!$D$16:$D$67)),STKWp!$D$16:$D$67),1))</f>
        <v>+II</v>
      </c>
      <c r="K65" s="9" t="str">
        <f t="array" ref="K65">INDEX(BSKW!$K$16:$K$114,IFERROR(MATCH(MIN(IF(BSKW!$D$16:$D$114&gt;AVERAGE(B65,C65),BSKW!$D$16:$D$114)),BSKW!$D$16:$D$114),1))</f>
        <v>+II</v>
      </c>
      <c r="L65" s="12" t="str">
        <f t="array" ref="L65">INDEX(HTKW!$K$16:$K$91,IFERROR(MATCH(MIN(IF(HTKW!$D$16:$D$91&gt;AVERAGE(B65,C65),HTKW!$D$16:$D$91)),HTKW!$D$16:$D$91),1))</f>
        <v>+II</v>
      </c>
    </row>
    <row r="66" spans="2:12" x14ac:dyDescent="0.25">
      <c r="B66" s="8">
        <v>16.71</v>
      </c>
      <c r="C66" s="9">
        <v>17.200000000000003</v>
      </c>
      <c r="D66" s="23" t="str">
        <f t="shared" si="2"/>
        <v>+0</v>
      </c>
      <c r="E66" s="23" t="str">
        <f t="shared" si="3"/>
        <v>+0</v>
      </c>
      <c r="F66" s="9" t="str">
        <f t="array" ref="F66">INDEX(STPH!$O$16:$O$31,IFERROR(MATCH(MIN(IF(STPH!$D$16:$D$31&gt;AVERAGE(B66,C66),STPH!$D$16:$D$31)),STPH!$D$16:$D$31),1))</f>
        <v>+I</v>
      </c>
      <c r="G66" s="9" t="str">
        <f t="array" ref="G66">INDEX(STBI!$O$16:$O$41,IFERROR(MATCH(MIN(IF(STBI!$D$16:$D$41&gt;AVERAGE(B66,C66),STBI!$D$16:$D$41)),STBI!$D$16:$D$41),1))</f>
        <v>+0</v>
      </c>
      <c r="H66" s="9" t="str">
        <f t="array" ref="H66">INDEX(GEKB!$K$16:$K$35,IFERROR(MATCH(MIN(IF(GEKB!$D$16:$D$35&gt;AVERAGE(B66,C66),GEKB!$D$16:$D$35)),GEKB!$D$16:$D$35),1))</f>
        <v>+II</v>
      </c>
      <c r="I66" s="9" t="str">
        <f t="array" ref="I66">INDEX(DA!$K$16:$K$35,IFERROR(MATCH(MIN(IF(DA!$D$16:$D$35&gt;AVERAGE(B66,C66),DA!$D$16:$D$35)),DA!$D$16:$D$35),1))</f>
        <v>NR</v>
      </c>
      <c r="J66" s="9" t="str">
        <f t="array" ref="J66">INDEX(STKWp!$K$16:$K$67,IFERROR(MATCH(MIN(IF(STKWp!$D$16:$D$67&gt;AVERAGE(B66,C66),STKWp!$D$16:$D$67)),STKWp!$D$16:$D$67),1))</f>
        <v>NR</v>
      </c>
      <c r="K66" s="9" t="str">
        <f t="array" ref="K66">INDEX(BSKW!$K$16:$K$114,IFERROR(MATCH(MIN(IF(BSKW!$D$16:$D$114&gt;AVERAGE(B66,C66),BSKW!$D$16:$D$114)),BSKW!$D$16:$D$114),1))</f>
        <v>NR</v>
      </c>
      <c r="L66" s="12" t="str">
        <f t="array" ref="L66">INDEX(HTKW!$K$16:$K$91,IFERROR(MATCH(MIN(IF(HTKW!$D$16:$D$91&gt;AVERAGE(B66,C66),HTKW!$D$16:$D$91)),HTKW!$D$16:$D$91),1))</f>
        <v>NR</v>
      </c>
    </row>
    <row r="67" spans="2:12" x14ac:dyDescent="0.25">
      <c r="B67" s="8">
        <v>17.200000000000003</v>
      </c>
      <c r="C67" s="9">
        <v>17.3</v>
      </c>
      <c r="D67" s="23" t="str">
        <f t="shared" ref="D67:D69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-I</v>
      </c>
      <c r="E67" s="23" t="str">
        <f t="shared" ref="E67:E69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</v>
      </c>
      <c r="F67" s="9" t="str">
        <f t="array" ref="F67">INDEX(STPH!$O$16:$O$31,IFERROR(MATCH(MIN(IF(STPH!$D$16:$D$31&gt;AVERAGE(B67,C67),STPH!$D$16:$D$31)),STPH!$D$16:$D$31),1))</f>
        <v>+I</v>
      </c>
      <c r="G67" s="9" t="str">
        <f t="array" ref="G67">INDEX(STBI!$O$16:$O$41,IFERROR(MATCH(MIN(IF(STBI!$D$16:$D$41&gt;AVERAGE(B67,C67),STBI!$D$16:$D$41)),STBI!$D$16:$D$41),1))</f>
        <v>-I</v>
      </c>
      <c r="H67" s="9" t="str">
        <f t="array" ref="H67">INDEX(GEKB!$K$16:$K$35,IFERROR(MATCH(MIN(IF(GEKB!$D$16:$D$35&gt;AVERAGE(B67,C67),GEKB!$D$16:$D$35)),GEKB!$D$16:$D$35),1))</f>
        <v>+II</v>
      </c>
      <c r="I67" s="9" t="str">
        <f t="array" ref="I67">INDEX(DA!$K$16:$K$35,IFERROR(MATCH(MIN(IF(DA!$D$16:$D$35&gt;AVERAGE(B67,C67),DA!$D$16:$D$35)),DA!$D$16:$D$35),1))</f>
        <v>NR</v>
      </c>
      <c r="J67" s="9" t="str">
        <f t="array" ref="J67">INDEX(STKWp!$K$16:$K$67,IFERROR(MATCH(MIN(IF(STKWp!$D$16:$D$67&gt;AVERAGE(B67,C67),STKWp!$D$16:$D$67)),STKWp!$D$16:$D$67),1))</f>
        <v>NR</v>
      </c>
      <c r="K67" s="9" t="str">
        <f t="array" ref="K67">INDEX(BSKW!$K$16:$K$114,IFERROR(MATCH(MIN(IF(BSKW!$D$16:$D$114&gt;AVERAGE(B67,C67),BSKW!$D$16:$D$114)),BSKW!$D$16:$D$114),1))</f>
        <v>NR</v>
      </c>
      <c r="L67" s="12" t="str">
        <f t="array" ref="L67">INDEX(HTKW!$K$16:$K$91,IFERROR(MATCH(MIN(IF(HTKW!$D$16:$D$91&gt;AVERAGE(B67,C67),HTKW!$D$16:$D$91)),HTKW!$D$16:$D$91),1))</f>
        <v>NR</v>
      </c>
    </row>
    <row r="68" spans="2:12" x14ac:dyDescent="0.25">
      <c r="B68" s="8">
        <v>17.3</v>
      </c>
      <c r="C68" s="9">
        <v>17.309999999999999</v>
      </c>
      <c r="D68" s="23" t="str">
        <f t="shared" si="4"/>
        <v>-I</v>
      </c>
      <c r="E68" s="23" t="str">
        <f t="shared" si="5"/>
        <v>-I</v>
      </c>
      <c r="F68" s="9" t="str">
        <f t="array" ref="F68">INDEX(STPH!$O$16:$O$31,IFERROR(MATCH(MIN(IF(STPH!$D$16:$D$31&gt;AVERAGE(B68,C68),STPH!$D$16:$D$31)),STPH!$D$16:$D$31),1))</f>
        <v>+I</v>
      </c>
      <c r="G68" s="9" t="str">
        <f t="array" ref="G68">INDEX(STBI!$O$16:$O$41,IFERROR(MATCH(MIN(IF(STBI!$D$16:$D$41&gt;AVERAGE(B68,C68),STBI!$D$16:$D$41)),STBI!$D$16:$D$41),1))</f>
        <v>-I</v>
      </c>
      <c r="H68" s="9" t="str">
        <f t="array" ref="H68">INDEX(GEKB!$K$16:$K$35,IFERROR(MATCH(MIN(IF(GEKB!$D$16:$D$35&gt;AVERAGE(B68,C68),GEKB!$D$16:$D$35)),GEKB!$D$16:$D$35),1))</f>
        <v>+II</v>
      </c>
      <c r="I68" s="9" t="str">
        <f t="array" ref="I68">INDEX(DA!$K$16:$K$35,IFERROR(MATCH(MIN(IF(DA!$D$16:$D$35&gt;AVERAGE(B68,C68),DA!$D$16:$D$35)),DA!$D$16:$D$35),1))</f>
        <v>NR</v>
      </c>
      <c r="J68" s="9" t="str">
        <f t="array" ref="J68">INDEX(STKWp!$K$16:$K$67,IFERROR(MATCH(MIN(IF(STKWp!$D$16:$D$67&gt;AVERAGE(B68,C68),STKWp!$D$16:$D$67)),STKWp!$D$16:$D$67),1))</f>
        <v>+II</v>
      </c>
      <c r="K68" s="9" t="str">
        <f t="array" ref="K68">INDEX(BSKW!$K$16:$K$114,IFERROR(MATCH(MIN(IF(BSKW!$D$16:$D$114&gt;AVERAGE(B68,C68),BSKW!$D$16:$D$114)),BSKW!$D$16:$D$114),1))</f>
        <v>+II</v>
      </c>
      <c r="L68" s="12" t="str">
        <f t="array" ref="L68">INDEX(HTKW!$K$16:$K$91,IFERROR(MATCH(MIN(IF(HTKW!$D$16:$D$91&gt;AVERAGE(B68,C68),HTKW!$D$16:$D$91)),HTKW!$D$16:$D$91),1))</f>
        <v>+II</v>
      </c>
    </row>
    <row r="69" spans="2:12" x14ac:dyDescent="0.25">
      <c r="B69" s="8">
        <v>17.309999999999999</v>
      </c>
      <c r="C69" s="9">
        <v>17.5</v>
      </c>
      <c r="D69" s="23" t="str">
        <f t="shared" si="4"/>
        <v>-I</v>
      </c>
      <c r="E69" s="23" t="str">
        <f t="shared" si="5"/>
        <v>-I</v>
      </c>
      <c r="F69" s="9" t="str">
        <f t="array" ref="F69">INDEX(STPH!$O$16:$O$31,IFERROR(MATCH(MIN(IF(STPH!$D$16:$D$31&gt;AVERAGE(B69,C69),STPH!$D$16:$D$31)),STPH!$D$16:$D$31),1))</f>
        <v>+I</v>
      </c>
      <c r="G69" s="9" t="str">
        <f t="array" ref="G69">INDEX(STBI!$O$16:$O$41,IFERROR(MATCH(MIN(IF(STBI!$D$16:$D$41&gt;AVERAGE(B69,C69),STBI!$D$16:$D$41)),STBI!$D$16:$D$41),1))</f>
        <v>-I</v>
      </c>
      <c r="H69" s="9" t="str">
        <f t="array" ref="H69">INDEX(GEKB!$K$16:$K$35,IFERROR(MATCH(MIN(IF(GEKB!$D$16:$D$35&gt;AVERAGE(B69,C69),GEKB!$D$16:$D$35)),GEKB!$D$16:$D$35),1))</f>
        <v>+II</v>
      </c>
      <c r="I69" s="9" t="str">
        <f t="array" ref="I69">INDEX(DA!$K$16:$K$35,IFERROR(MATCH(MIN(IF(DA!$D$16:$D$35&gt;AVERAGE(B69,C69),DA!$D$16:$D$35)),DA!$D$16:$D$35),1))</f>
        <v>NR</v>
      </c>
      <c r="J69" s="9" t="str">
        <f t="array" ref="J69">INDEX(STKWp!$K$16:$K$67,IFERROR(MATCH(MIN(IF(STKWp!$D$16:$D$67&gt;AVERAGE(B69,C69),STKWp!$D$16:$D$67)),STKWp!$D$16:$D$67),1))</f>
        <v>NR</v>
      </c>
      <c r="K69" s="9" t="str">
        <f t="array" ref="K69">INDEX(BSKW!$K$16:$K$114,IFERROR(MATCH(MIN(IF(BSKW!$D$16:$D$114&gt;AVERAGE(B69,C69),BSKW!$D$16:$D$114)),BSKW!$D$16:$D$114),1))</f>
        <v>NR</v>
      </c>
      <c r="L69" s="12" t="str">
        <f t="array" ref="L69">INDEX(HTKW!$K$16:$K$91,IFERROR(MATCH(MIN(IF(HTKW!$D$16:$D$91&gt;AVERAGE(B69,C69),HTKW!$D$16:$D$91)),HTKW!$D$16:$D$91),1))</f>
        <v>NR</v>
      </c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x14ac:dyDescent="0.25">
      <c r="B74" s="8"/>
      <c r="C74" s="9"/>
      <c r="D74" s="23"/>
      <c r="E74" s="23"/>
      <c r="F74" s="9"/>
      <c r="G74" s="9"/>
      <c r="H74" s="9"/>
      <c r="I74" s="9"/>
      <c r="J74" s="9"/>
      <c r="K74" s="9"/>
      <c r="L74" s="12"/>
    </row>
    <row r="75" spans="2:12" x14ac:dyDescent="0.25">
      <c r="B75" s="8"/>
      <c r="C75" s="9"/>
      <c r="D75" s="23"/>
      <c r="E75" s="23"/>
      <c r="F75" s="9"/>
      <c r="G75" s="9"/>
      <c r="H75" s="9"/>
      <c r="I75" s="9"/>
      <c r="J75" s="9"/>
      <c r="K75" s="9"/>
      <c r="L75" s="12"/>
    </row>
    <row r="76" spans="2:12" x14ac:dyDescent="0.25">
      <c r="B76" s="8"/>
      <c r="C76" s="9"/>
      <c r="D76" s="23"/>
      <c r="E76" s="23"/>
      <c r="F76" s="9"/>
      <c r="G76" s="9"/>
      <c r="H76" s="9"/>
      <c r="I76" s="9"/>
      <c r="J76" s="9"/>
      <c r="K76" s="9"/>
      <c r="L76" s="12"/>
    </row>
    <row r="77" spans="2:12" x14ac:dyDescent="0.25">
      <c r="B77" s="8"/>
      <c r="C77" s="9"/>
      <c r="D77" s="23"/>
      <c r="E77" s="23"/>
      <c r="F77" s="9"/>
      <c r="G77" s="9"/>
      <c r="H77" s="9"/>
      <c r="I77" s="9"/>
      <c r="J77" s="9"/>
      <c r="K77" s="9"/>
      <c r="L77" s="12"/>
    </row>
    <row r="78" spans="2:12" x14ac:dyDescent="0.25">
      <c r="B78" s="8"/>
      <c r="C78" s="9"/>
      <c r="D78" s="23"/>
      <c r="E78" s="23"/>
      <c r="F78" s="9"/>
      <c r="G78" s="9"/>
      <c r="H78" s="9"/>
      <c r="I78" s="9"/>
      <c r="J78" s="9"/>
      <c r="K78" s="9"/>
      <c r="L78" s="12"/>
    </row>
    <row r="79" spans="2:12" x14ac:dyDescent="0.25">
      <c r="B79" s="8"/>
      <c r="C79" s="9"/>
      <c r="D79" s="23"/>
      <c r="E79" s="23"/>
      <c r="F79" s="9"/>
      <c r="G79" s="9"/>
      <c r="H79" s="9"/>
      <c r="I79" s="9"/>
      <c r="J79" s="9"/>
      <c r="K79" s="9"/>
      <c r="L79" s="12"/>
    </row>
    <row r="80" spans="2:12" x14ac:dyDescent="0.25">
      <c r="B80" s="8"/>
      <c r="C80" s="9"/>
      <c r="D80" s="23"/>
      <c r="E80" s="23"/>
      <c r="F80" s="9"/>
      <c r="G80" s="9"/>
      <c r="H80" s="9"/>
      <c r="I80" s="9"/>
      <c r="J80" s="9"/>
      <c r="K80" s="9"/>
      <c r="L80" s="12"/>
    </row>
    <row r="81" spans="2:12" x14ac:dyDescent="0.25">
      <c r="B81" s="8"/>
      <c r="C81" s="9"/>
      <c r="D81" s="23"/>
      <c r="E81" s="23"/>
      <c r="F81" s="9"/>
      <c r="G81" s="9"/>
      <c r="H81" s="9"/>
      <c r="I81" s="9"/>
      <c r="J81" s="9"/>
      <c r="K81" s="9"/>
      <c r="L81" s="12"/>
    </row>
    <row r="82" spans="2:12" x14ac:dyDescent="0.25">
      <c r="B82" s="8"/>
      <c r="C82" s="9"/>
      <c r="D82" s="23"/>
      <c r="E82" s="23"/>
      <c r="F82" s="9"/>
      <c r="G82" s="9"/>
      <c r="H82" s="9"/>
      <c r="I82" s="9"/>
      <c r="J82" s="9"/>
      <c r="K82" s="9"/>
      <c r="L82" s="12"/>
    </row>
    <row r="83" spans="2:12" x14ac:dyDescent="0.25">
      <c r="B83" s="8"/>
      <c r="C83" s="9"/>
      <c r="D83" s="23"/>
      <c r="E83" s="23"/>
      <c r="F83" s="9"/>
      <c r="G83" s="9"/>
      <c r="H83" s="9"/>
      <c r="I83" s="9"/>
      <c r="J83" s="9"/>
      <c r="K83" s="9"/>
      <c r="L83" s="12"/>
    </row>
    <row r="84" spans="2:12" x14ac:dyDescent="0.25">
      <c r="B84" s="8"/>
      <c r="C84" s="9"/>
      <c r="D84" s="23"/>
      <c r="E84" s="23"/>
      <c r="F84" s="9"/>
      <c r="G84" s="9"/>
      <c r="H84" s="9"/>
      <c r="I84" s="9"/>
      <c r="J84" s="9"/>
      <c r="K84" s="9"/>
      <c r="L84" s="12"/>
    </row>
    <row r="85" spans="2:12" x14ac:dyDescent="0.25">
      <c r="B85" s="8"/>
      <c r="C85" s="9"/>
      <c r="D85" s="23"/>
      <c r="E85" s="23"/>
      <c r="F85" s="9"/>
      <c r="G85" s="9"/>
      <c r="H85" s="9"/>
      <c r="I85" s="9"/>
      <c r="J85" s="9"/>
      <c r="K85" s="9"/>
      <c r="L85" s="12"/>
    </row>
    <row r="86" spans="2:12" x14ac:dyDescent="0.25">
      <c r="B86" s="8"/>
      <c r="C86" s="9"/>
      <c r="D86" s="23"/>
      <c r="E86" s="23"/>
      <c r="F86" s="9"/>
      <c r="G86" s="9"/>
      <c r="H86" s="9"/>
      <c r="I86" s="9"/>
      <c r="J86" s="9"/>
      <c r="K86" s="9"/>
      <c r="L86" s="12"/>
    </row>
    <row r="87" spans="2:12" x14ac:dyDescent="0.25">
      <c r="B87" s="8"/>
      <c r="C87" s="9"/>
      <c r="D87" s="23"/>
      <c r="E87" s="23"/>
      <c r="F87" s="9"/>
      <c r="G87" s="9"/>
      <c r="H87" s="9"/>
      <c r="I87" s="9"/>
      <c r="J87" s="9"/>
      <c r="K87" s="9"/>
      <c r="L87" s="12"/>
    </row>
    <row r="88" spans="2:12" ht="15.75" thickBot="1" x14ac:dyDescent="0.3">
      <c r="B88" s="13"/>
      <c r="C88" s="14"/>
      <c r="D88" s="24"/>
      <c r="E88" s="24"/>
      <c r="F88" s="14"/>
      <c r="G88" s="14"/>
      <c r="H88" s="14"/>
      <c r="I88" s="14"/>
      <c r="J88" s="14"/>
      <c r="K88" s="14"/>
      <c r="L88" s="17"/>
    </row>
    <row r="89" spans="2:12" x14ac:dyDescent="0.25">
      <c r="B89" s="9"/>
      <c r="C89" s="9"/>
    </row>
    <row r="90" spans="2:12" x14ac:dyDescent="0.25">
      <c r="C90" s="9"/>
    </row>
    <row r="91" spans="2:12" x14ac:dyDescent="0.25">
      <c r="C91" s="9"/>
    </row>
    <row r="92" spans="2:12" x14ac:dyDescent="0.25">
      <c r="C92" s="9"/>
    </row>
    <row r="93" spans="2:12" x14ac:dyDescent="0.25">
      <c r="C93" s="9"/>
    </row>
    <row r="94" spans="2:12" x14ac:dyDescent="0.25">
      <c r="C94" s="9"/>
    </row>
    <row r="95" spans="2:12" x14ac:dyDescent="0.25">
      <c r="C95" s="9"/>
    </row>
    <row r="96" spans="2:12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2023-03-01T09:09:54Z</dcterms:modified>
</cp:coreProperties>
</file>