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9000\11209269\B. Measurements and calculations\007 Assemblagekernel\Testcases\Aangepast\"/>
    </mc:Choice>
  </mc:AlternateContent>
  <xr:revisionPtr revIDLastSave="0" documentId="13_ncr:1_{1D9DE92D-3706-4505-B181-DC79BDC2877C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2" i="7"/>
  <c r="I13" i="7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O8" i="7" l="1"/>
  <c r="N8" i="7"/>
  <c r="O12" i="7"/>
  <c r="N12" i="7"/>
  <c r="M9" i="7"/>
  <c r="L9" i="7"/>
  <c r="M13" i="7"/>
  <c r="L13" i="7"/>
  <c r="O9" i="7"/>
  <c r="N9" i="7"/>
  <c r="O13" i="7"/>
  <c r="N13" i="7"/>
  <c r="M10" i="7"/>
  <c r="L10" i="7"/>
  <c r="O10" i="7"/>
  <c r="N10" i="7"/>
  <c r="M11" i="7"/>
  <c r="L11" i="7"/>
  <c r="M7" i="7"/>
  <c r="L7" i="7"/>
  <c r="L15" i="7" s="1"/>
  <c r="O7" i="7"/>
  <c r="N7" i="7"/>
  <c r="O11" i="7"/>
  <c r="N11" i="7"/>
  <c r="M8" i="7"/>
  <c r="L8" i="7"/>
  <c r="M12" i="7"/>
  <c r="L12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6"/>
  <c r="C10" i="6"/>
  <c r="C9" i="6"/>
  <c r="C8" i="6"/>
  <c r="C11" i="5"/>
  <c r="C10" i="5"/>
  <c r="C9" i="5"/>
  <c r="C8" i="5"/>
  <c r="C11" i="3"/>
  <c r="C10" i="3"/>
  <c r="C9" i="3"/>
  <c r="C8" i="3"/>
  <c r="C11" i="2"/>
  <c r="C10" i="2"/>
  <c r="C9" i="2"/>
  <c r="C8" i="2"/>
  <c r="N15" i="7" l="1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V15" i="9"/>
  <c r="U15" i="9"/>
  <c r="C7" i="9"/>
  <c r="C6" i="9"/>
  <c r="C7" i="14"/>
  <c r="C6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V15" i="14"/>
  <c r="U15" i="14"/>
  <c r="N15" i="10"/>
  <c r="M15" i="10"/>
  <c r="U15" i="10" s="1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V15" i="6"/>
  <c r="U15" i="6"/>
  <c r="C7" i="6"/>
  <c r="C6" i="6"/>
  <c r="C7" i="5"/>
  <c r="C6" i="5"/>
  <c r="U16" i="5"/>
  <c r="V16" i="5"/>
  <c r="U17" i="5"/>
  <c r="V17" i="5"/>
  <c r="U18" i="5"/>
  <c r="V18" i="5"/>
  <c r="V15" i="5"/>
  <c r="U15" i="5"/>
  <c r="Y16" i="3"/>
  <c r="Z16" i="3"/>
  <c r="Y17" i="3"/>
  <c r="Z17" i="3"/>
  <c r="Y18" i="3"/>
  <c r="Z18" i="3"/>
  <c r="Z15" i="3"/>
  <c r="Y15" i="3"/>
  <c r="C7" i="3"/>
  <c r="C6" i="3"/>
  <c r="Y16" i="2"/>
  <c r="Z16" i="2"/>
  <c r="Y17" i="2"/>
  <c r="Z17" i="2"/>
  <c r="Y18" i="2"/>
  <c r="Z18" i="2"/>
  <c r="Z15" i="2"/>
  <c r="Y15" i="2"/>
  <c r="C7" i="2"/>
  <c r="C6" i="2"/>
  <c r="C6" i="10" l="1"/>
  <c r="X18" i="2" l="1"/>
  <c r="X17" i="2"/>
  <c r="X16" i="2"/>
  <c r="T18" i="5"/>
  <c r="T17" i="5"/>
  <c r="T16" i="5"/>
  <c r="T23" i="14" l="1"/>
  <c r="T22" i="14"/>
  <c r="O22" i="14"/>
  <c r="M22" i="14"/>
  <c r="T21" i="14"/>
  <c r="T20" i="14"/>
  <c r="O20" i="14"/>
  <c r="M20" i="14"/>
  <c r="T19" i="14"/>
  <c r="T18" i="14"/>
  <c r="O18" i="14"/>
  <c r="M18" i="14"/>
  <c r="T17" i="14"/>
  <c r="T16" i="14"/>
  <c r="O16" i="14"/>
  <c r="M16" i="14"/>
  <c r="K22" i="9" l="1"/>
  <c r="K20" i="9"/>
  <c r="K18" i="9"/>
  <c r="K16" i="9"/>
  <c r="K22" i="14"/>
  <c r="K20" i="14"/>
  <c r="K18" i="14"/>
  <c r="K16" i="14"/>
  <c r="K22" i="10"/>
  <c r="K20" i="10"/>
  <c r="K18" i="10"/>
  <c r="K16" i="10"/>
  <c r="K15" i="6"/>
  <c r="K16" i="5"/>
  <c r="J18" i="5" l="1"/>
  <c r="J16" i="5"/>
  <c r="J15" i="5"/>
  <c r="J17" i="5"/>
  <c r="P17" i="5" l="1"/>
  <c r="O17" i="5"/>
  <c r="N17" i="5"/>
  <c r="M17" i="5"/>
  <c r="K17" i="5"/>
  <c r="M16" i="5"/>
  <c r="N16" i="5" s="1"/>
  <c r="O16" i="5"/>
  <c r="P16" i="5" s="1"/>
  <c r="O18" i="5"/>
  <c r="P18" i="5" s="1"/>
  <c r="M18" i="5"/>
  <c r="N18" i="5" s="1"/>
  <c r="B4" i="13"/>
  <c r="B3" i="13"/>
  <c r="E17" i="13" l="1"/>
  <c r="E18" i="13"/>
  <c r="E16" i="13"/>
  <c r="E15" i="13"/>
  <c r="E14" i="13"/>
  <c r="E13" i="13"/>
  <c r="J23" i="9"/>
  <c r="J22" i="9"/>
  <c r="J21" i="9"/>
  <c r="J20" i="9"/>
  <c r="J19" i="9"/>
  <c r="J18" i="9"/>
  <c r="J17" i="9"/>
  <c r="J16" i="9"/>
  <c r="J15" i="9"/>
  <c r="J23" i="10"/>
  <c r="J22" i="10"/>
  <c r="J21" i="10"/>
  <c r="J20" i="10"/>
  <c r="J19" i="10"/>
  <c r="J18" i="10"/>
  <c r="J17" i="10"/>
  <c r="J16" i="10"/>
  <c r="J15" i="10"/>
  <c r="J22" i="14"/>
  <c r="J21" i="14"/>
  <c r="J20" i="14"/>
  <c r="J19" i="14"/>
  <c r="J18" i="14"/>
  <c r="J17" i="14"/>
  <c r="J16" i="14"/>
  <c r="J15" i="14"/>
  <c r="J23" i="14"/>
  <c r="Q16" i="14" l="1" a="1"/>
  <c r="Q16" i="14" s="1"/>
  <c r="R16" i="14" s="1"/>
  <c r="S16" i="14" s="1"/>
  <c r="N16" i="14"/>
  <c r="P16" i="14"/>
  <c r="Q15" i="14" a="1"/>
  <c r="Q15" i="14" s="1"/>
  <c r="R15" i="14" s="1"/>
  <c r="Q16" i="5" a="1"/>
  <c r="Q16" i="5" s="1"/>
  <c r="R16" i="5" s="1"/>
  <c r="S16" i="5" s="1"/>
  <c r="Q17" i="5" a="1"/>
  <c r="Q17" i="5" s="1"/>
  <c r="R17" i="5" s="1"/>
  <c r="S17" i="5" s="1"/>
  <c r="Q15" i="5" a="1"/>
  <c r="Q15" i="5" s="1"/>
  <c r="R15" i="5" s="1"/>
  <c r="Q18" i="5" a="1"/>
  <c r="Q18" i="5" s="1"/>
  <c r="R18" i="5" s="1"/>
  <c r="S18" i="5" s="1"/>
  <c r="K18" i="5" s="1"/>
  <c r="O19" i="14"/>
  <c r="P19" i="14" s="1"/>
  <c r="M19" i="14"/>
  <c r="N19" i="14" s="1"/>
  <c r="Q19" i="14" a="1"/>
  <c r="Q19" i="14" s="1"/>
  <c r="R19" i="14" s="1"/>
  <c r="S19" i="14" s="1"/>
  <c r="M21" i="14"/>
  <c r="N21" i="14" s="1"/>
  <c r="Q21" i="14" a="1"/>
  <c r="Q21" i="14" s="1"/>
  <c r="R21" i="14" s="1"/>
  <c r="S21" i="14" s="1"/>
  <c r="O21" i="14"/>
  <c r="P21" i="14" s="1"/>
  <c r="Q17" i="14" a="1"/>
  <c r="Q17" i="14" s="1"/>
  <c r="R17" i="14" s="1"/>
  <c r="S17" i="14" s="1"/>
  <c r="O17" i="14"/>
  <c r="P17" i="14" s="1"/>
  <c r="M17" i="14"/>
  <c r="N17" i="14" s="1"/>
  <c r="Q18" i="14" a="1"/>
  <c r="Q18" i="14" s="1"/>
  <c r="R18" i="14" s="1"/>
  <c r="S18" i="14" s="1"/>
  <c r="N18" i="14"/>
  <c r="P18" i="14"/>
  <c r="Q20" i="14" a="1"/>
  <c r="Q20" i="14" s="1"/>
  <c r="R20" i="14" s="1"/>
  <c r="S20" i="14" s="1"/>
  <c r="N20" i="14"/>
  <c r="P20" i="14"/>
  <c r="Q23" i="14" a="1"/>
  <c r="Q23" i="14" s="1"/>
  <c r="R23" i="14" s="1"/>
  <c r="S23" i="14" s="1"/>
  <c r="K23" i="14" s="1"/>
  <c r="N23" i="14"/>
  <c r="M23" i="14"/>
  <c r="O23" i="14"/>
  <c r="P23" i="14" s="1"/>
  <c r="Q22" i="14" a="1"/>
  <c r="Q22" i="14" s="1"/>
  <c r="R22" i="14" s="1"/>
  <c r="S22" i="14" s="1"/>
  <c r="N22" i="14"/>
  <c r="P22" i="14"/>
  <c r="M18" i="2"/>
  <c r="L18" i="2"/>
  <c r="M17" i="2"/>
  <c r="L17" i="2"/>
  <c r="M16" i="2"/>
  <c r="L16" i="2"/>
  <c r="S16" i="2" s="1"/>
  <c r="T16" i="2" s="1"/>
  <c r="M15" i="2"/>
  <c r="L15" i="2"/>
  <c r="M18" i="3"/>
  <c r="L18" i="3"/>
  <c r="M17" i="3"/>
  <c r="L17" i="3"/>
  <c r="M16" i="3"/>
  <c r="L16" i="3"/>
  <c r="M15" i="3"/>
  <c r="L15" i="3"/>
  <c r="E7" i="13"/>
  <c r="U18" i="2" l="1" a="1"/>
  <c r="U18" i="2" s="1"/>
  <c r="V18" i="2" s="1"/>
  <c r="W18" i="2" s="1"/>
  <c r="O18" i="2" s="1"/>
  <c r="Q18" i="2"/>
  <c r="R18" i="2" s="1"/>
  <c r="Q16" i="2"/>
  <c r="R16" i="2" s="1"/>
  <c r="U16" i="2" a="1"/>
  <c r="U16" i="2" s="1"/>
  <c r="V16" i="2" s="1"/>
  <c r="W16" i="2" s="1"/>
  <c r="O16" i="2" s="1"/>
  <c r="S17" i="2"/>
  <c r="T17" i="2"/>
  <c r="R17" i="2"/>
  <c r="Q17" i="2"/>
  <c r="U17" i="2" a="1"/>
  <c r="U17" i="2" s="1"/>
  <c r="V17" i="2" s="1"/>
  <c r="W17" i="2" s="1"/>
  <c r="O17" i="2"/>
  <c r="S18" i="2"/>
  <c r="T18" i="2" s="1"/>
  <c r="T15" i="14"/>
  <c r="K15" i="14" s="1"/>
  <c r="O15" i="14"/>
  <c r="P15" i="14" s="1"/>
  <c r="M15" i="14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K19" i="9" s="1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M23" i="9"/>
  <c r="N23" i="9" s="1"/>
  <c r="O23" i="9"/>
  <c r="P23" i="9" s="1"/>
  <c r="T23" i="9"/>
  <c r="K23" i="9" s="1"/>
  <c r="O17" i="10"/>
  <c r="O23" i="10"/>
  <c r="M17" i="10"/>
  <c r="T17" i="10"/>
  <c r="T18" i="10"/>
  <c r="T19" i="10"/>
  <c r="T20" i="10"/>
  <c r="M21" i="10"/>
  <c r="O21" i="10"/>
  <c r="T21" i="10"/>
  <c r="T22" i="10"/>
  <c r="T23" i="10"/>
  <c r="N15" i="14" l="1"/>
  <c r="M23" i="10"/>
  <c r="N23" i="10" s="1"/>
  <c r="O19" i="10"/>
  <c r="P19" i="10" s="1"/>
  <c r="M19" i="10"/>
  <c r="N19" i="10" s="1"/>
  <c r="P23" i="10"/>
  <c r="N21" i="10"/>
  <c r="P21" i="10"/>
  <c r="P17" i="10"/>
  <c r="N17" i="10"/>
  <c r="O22" i="10"/>
  <c r="P22" i="10" s="1"/>
  <c r="O20" i="10"/>
  <c r="P20" i="10" s="1"/>
  <c r="M22" i="10"/>
  <c r="N22" i="10" s="1"/>
  <c r="M20" i="10"/>
  <c r="N20" i="10" s="1"/>
  <c r="O18" i="10"/>
  <c r="P18" i="10" s="1"/>
  <c r="M18" i="10"/>
  <c r="N18" i="10" s="1"/>
  <c r="C13" i="7" l="1"/>
  <c r="D13" i="7" l="1"/>
  <c r="O15" i="9" l="1"/>
  <c r="O15" i="10"/>
  <c r="O15" i="6"/>
  <c r="T16" i="9"/>
  <c r="O16" i="9"/>
  <c r="T15" i="9"/>
  <c r="M15" i="9"/>
  <c r="T16" i="10"/>
  <c r="T15" i="10"/>
  <c r="K15" i="10" s="1"/>
  <c r="O16" i="10" l="1"/>
  <c r="P16" i="10" s="1"/>
  <c r="P15" i="9"/>
  <c r="M16" i="9"/>
  <c r="P16" i="9"/>
  <c r="N15" i="9"/>
  <c r="M16" i="10"/>
  <c r="N16" i="10" s="1"/>
  <c r="P15" i="10"/>
  <c r="T15" i="5"/>
  <c r="O15" i="5"/>
  <c r="V15" i="10" l="1"/>
  <c r="C7" i="10"/>
  <c r="D11" i="7" s="1"/>
  <c r="C12" i="7"/>
  <c r="N16" i="9"/>
  <c r="D12" i="7" s="1"/>
  <c r="C11" i="7"/>
  <c r="T15" i="6"/>
  <c r="P15" i="6"/>
  <c r="M15" i="6"/>
  <c r="P15" i="5"/>
  <c r="X18" i="3"/>
  <c r="S18" i="3"/>
  <c r="X17" i="3"/>
  <c r="S17" i="3"/>
  <c r="X16" i="3"/>
  <c r="O16" i="3" s="1"/>
  <c r="Q16" i="3"/>
  <c r="N16" i="3" l="1"/>
  <c r="S16" i="3"/>
  <c r="T16" i="3" s="1"/>
  <c r="R16" i="3"/>
  <c r="E4" i="13"/>
  <c r="F5" i="13" s="1"/>
  <c r="E6" i="13"/>
  <c r="F7" i="13" s="1"/>
  <c r="F8" i="13"/>
  <c r="E5" i="13"/>
  <c r="F6" i="13" s="1"/>
  <c r="C10" i="7"/>
  <c r="N15" i="6"/>
  <c r="M15" i="5"/>
  <c r="N15" i="5" s="1"/>
  <c r="X15" i="3"/>
  <c r="T17" i="3"/>
  <c r="T18" i="3"/>
  <c r="Q15" i="3"/>
  <c r="S15" i="3"/>
  <c r="Q23" i="9" l="1" a="1"/>
  <c r="Q23" i="9" s="1"/>
  <c r="R23" i="9" s="1"/>
  <c r="S23" i="9" s="1"/>
  <c r="Q15" i="9" a="1"/>
  <c r="Q15" i="9" s="1"/>
  <c r="R15" i="9" s="1"/>
  <c r="S15" i="9" s="1"/>
  <c r="K15" i="9" s="1"/>
  <c r="Q20" i="10" a="1"/>
  <c r="Q20" i="10" s="1"/>
  <c r="R20" i="10" s="1"/>
  <c r="S20" i="10" s="1"/>
  <c r="Q22" i="9" a="1"/>
  <c r="Q22" i="9" s="1"/>
  <c r="R22" i="9" s="1"/>
  <c r="S22" i="9" s="1"/>
  <c r="Q21" i="10" a="1"/>
  <c r="Q21" i="10" s="1"/>
  <c r="R21" i="10" s="1"/>
  <c r="S21" i="10" s="1"/>
  <c r="K21" i="10" s="1"/>
  <c r="Q17" i="9" a="1"/>
  <c r="Q17" i="9" s="1"/>
  <c r="R17" i="9" s="1"/>
  <c r="S17" i="9" s="1"/>
  <c r="K17" i="9" s="1"/>
  <c r="Q21" i="9" a="1"/>
  <c r="Q21" i="9" s="1"/>
  <c r="R21" i="9" s="1"/>
  <c r="S21" i="9" s="1"/>
  <c r="K21" i="9" s="1"/>
  <c r="Q20" i="9" a="1"/>
  <c r="Q20" i="9" s="1"/>
  <c r="R20" i="9" s="1"/>
  <c r="S20" i="9" s="1"/>
  <c r="Q18" i="10" a="1"/>
  <c r="Q18" i="10" s="1"/>
  <c r="R18" i="10" s="1"/>
  <c r="S18" i="10" s="1"/>
  <c r="Q19" i="9" a="1"/>
  <c r="Q19" i="9" s="1"/>
  <c r="R19" i="9" s="1"/>
  <c r="S19" i="9" s="1"/>
  <c r="Q16" i="10" a="1"/>
  <c r="Q16" i="10" s="1"/>
  <c r="R16" i="10" s="1"/>
  <c r="S16" i="10" s="1"/>
  <c r="Q18" i="9" a="1"/>
  <c r="Q18" i="9" s="1"/>
  <c r="R18" i="9" s="1"/>
  <c r="S18" i="9" s="1"/>
  <c r="Q15" i="10" a="1"/>
  <c r="Q15" i="10" s="1"/>
  <c r="R15" i="10" s="1"/>
  <c r="S15" i="10" s="1"/>
  <c r="Q16" i="9" a="1"/>
  <c r="Q16" i="9" s="1"/>
  <c r="R16" i="9" s="1"/>
  <c r="S16" i="9" s="1"/>
  <c r="Q23" i="10" a="1"/>
  <c r="Q23" i="10" s="1"/>
  <c r="R23" i="10" s="1"/>
  <c r="S23" i="10" s="1"/>
  <c r="K23" i="10" s="1"/>
  <c r="Q22" i="10" a="1"/>
  <c r="Q22" i="10" s="1"/>
  <c r="R22" i="10" s="1"/>
  <c r="S22" i="10" s="1"/>
  <c r="Q17" i="10" a="1"/>
  <c r="Q17" i="10" s="1"/>
  <c r="R17" i="10" s="1"/>
  <c r="S17" i="10" s="1"/>
  <c r="K17" i="10" s="1"/>
  <c r="U17" i="3" a="1"/>
  <c r="U17" i="3" s="1"/>
  <c r="V17" i="3" s="1"/>
  <c r="W17" i="3" s="1"/>
  <c r="O17" i="3" s="1"/>
  <c r="U16" i="3" a="1"/>
  <c r="U16" i="3" s="1"/>
  <c r="V16" i="3" s="1"/>
  <c r="W16" i="3" s="1"/>
  <c r="U18" i="3" a="1"/>
  <c r="U18" i="3" s="1"/>
  <c r="V18" i="3" s="1"/>
  <c r="W18" i="3" s="1"/>
  <c r="O18" i="3" s="1"/>
  <c r="Q19" i="10" a="1"/>
  <c r="Q19" i="10" s="1"/>
  <c r="R19" i="10" s="1"/>
  <c r="S19" i="10" s="1"/>
  <c r="K19" i="10" s="1"/>
  <c r="U15" i="3" a="1"/>
  <c r="U15" i="3" s="1"/>
  <c r="V15" i="3" s="1"/>
  <c r="W15" i="3" s="1"/>
  <c r="O15" i="3" s="1"/>
  <c r="U15" i="2" a="1"/>
  <c r="U15" i="2" s="1"/>
  <c r="V15" i="2" s="1"/>
  <c r="W15" i="2" s="1"/>
  <c r="K17" i="14"/>
  <c r="S15" i="14"/>
  <c r="K21" i="14"/>
  <c r="K19" i="14"/>
  <c r="N16" i="2"/>
  <c r="Q15" i="6" a="1"/>
  <c r="Q15" i="6" s="1"/>
  <c r="R15" i="6" s="1"/>
  <c r="S15" i="6" s="1"/>
  <c r="D10" i="7"/>
  <c r="S15" i="5"/>
  <c r="K15" i="5" s="1"/>
  <c r="Q18" i="3"/>
  <c r="R18" i="3" s="1"/>
  <c r="N18" i="3"/>
  <c r="Q17" i="3"/>
  <c r="R17" i="3" s="1"/>
  <c r="N15" i="3"/>
  <c r="T15" i="3"/>
  <c r="R15" i="3"/>
  <c r="N17" i="3"/>
  <c r="X15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D9" i="7"/>
  <c r="C9" i="7"/>
  <c r="N17" i="2"/>
  <c r="N18" i="2"/>
  <c r="S15" i="2"/>
  <c r="C8" i="7" l="1"/>
  <c r="D8" i="7"/>
  <c r="Q15" i="2"/>
  <c r="T15" i="2"/>
  <c r="N15" i="2"/>
  <c r="C7" i="7" l="1"/>
  <c r="R15" i="2"/>
  <c r="O15" i="2" l="1"/>
  <c r="D7" i="7"/>
  <c r="H3" i="7" s="1" a="1"/>
  <c r="H3" i="7" s="1"/>
  <c r="H2" i="7" l="1" a="1"/>
  <c r="H2" i="7" s="1"/>
  <c r="I2" i="7" s="1"/>
  <c r="E2" i="7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I3" i="7"/>
  <c r="E3" i="7" s="1"/>
  <c r="E3" i="8" l="1"/>
  <c r="D3" i="8"/>
  <c r="E4" i="8"/>
  <c r="D4" i="8"/>
  <c r="E10" i="8"/>
  <c r="D10" i="8"/>
  <c r="E9" i="8"/>
  <c r="D9" i="8"/>
  <c r="E11" i="8"/>
  <c r="D11" i="8"/>
  <c r="E8" i="8"/>
  <c r="D8" i="8"/>
  <c r="E6" i="8"/>
  <c r="D6" i="8"/>
  <c r="E5" i="8"/>
  <c r="D5" i="8"/>
  <c r="E7" i="8"/>
  <c r="D7" i="8"/>
</calcChain>
</file>

<file path=xl/sharedStrings.xml><?xml version="1.0" encoding="utf-8"?>
<sst xmlns="http://schemas.openxmlformats.org/spreadsheetml/2006/main" count="519" uniqueCount="121">
  <si>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</si>
  <si>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</si>
  <si>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</si>
  <si>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</si>
  <si>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</si>
  <si>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</si>
  <si>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</si>
  <si>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</si>
  <si>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</si>
  <si>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</si>
  <si>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</si>
  <si>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</si>
  <si>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</si>
  <si>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</si>
  <si>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</si>
  <si>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</si>
  <si>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</si>
  <si>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</si>
  <si>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</si>
  <si>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</si>
  <si>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</si>
  <si>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</si>
  <si>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</si>
  <si>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</si>
  <si>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</si>
  <si>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</si>
  <si>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</si>
  <si>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</si>
  <si>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</si>
  <si>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</si>
  <si>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</si>
  <si>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</si>
  <si>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</si>
  <si>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</si>
  <si>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</si>
  <si>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</si>
  <si>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</si>
  <si>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</si>
  <si>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</si>
  <si>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</si>
  <si>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</si>
  <si>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</si>
  <si>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</si>
  <si>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</si>
  <si>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</si>
  <si>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</si>
  <si>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</si>
  <si>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</si>
  <si>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</si>
  <si>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</si>
  <si>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</si>
  <si>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</si>
  <si>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</si>
  <si>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</si>
  <si>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</si>
  <si>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</si>
  <si>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</si>
  <si>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</si>
  <si>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</si>
  <si>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</si>
  <si>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</si>
  <si>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</si>
  <si>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</si>
  <si>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</si>
  <si>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</si>
  <si>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</si>
  <si>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</si>
  <si>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</si>
  <si>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</si>
  <si>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</si>
  <si>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</si>
  <si>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</si>
  <si>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</si>
  <si>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</si>
  <si>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</si>
  <si>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</si>
  <si>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</si>
  <si>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</si>
  <si>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</si>
  <si>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</si>
  <si>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</si>
  <si>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</si>
  <si>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</si>
  <si>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</si>
  <si>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</si>
  <si>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</si>
  <si>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</si>
  <si>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</si>
  <si>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</si>
  <si>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</si>
  <si>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</si>
  <si>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</si>
  <si>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</si>
  <si>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</si>
  <si>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</si>
  <si>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</si>
  <si>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</si>
  <si>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</si>
  <si>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</si>
  <si>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</si>
  <si>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</si>
  <si>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</si>
  <si>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30-4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</si>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</sst>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1/1000000</f>
        <v>9.9999999999999995E-7</v>
      </c>
      <c r="D4" s="62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103</v>
      </c>
      <c r="B5" s="9">
        <v>2.0680000000000001</v>
      </c>
      <c r="D5" s="63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4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5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6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1.0000000000000001E-9</v>
      </c>
    </row>
    <row r="14" spans="1:6" x14ac:dyDescent="0.25">
      <c r="D14" s="55" t="s">
        <v>51</v>
      </c>
      <c r="E14" s="26">
        <f>1/100*B3</f>
        <v>1E-8</v>
      </c>
    </row>
    <row r="15" spans="1:6" x14ac:dyDescent="0.25">
      <c r="D15" s="56" t="s">
        <v>52</v>
      </c>
      <c r="E15" s="26">
        <f>1/10*B3</f>
        <v>9.9999999999999995E-8</v>
      </c>
    </row>
    <row r="16" spans="1:6" x14ac:dyDescent="0.25">
      <c r="D16" s="57" t="s">
        <v>53</v>
      </c>
      <c r="E16" s="26">
        <f>B3</f>
        <v>9.9999999999999995E-7</v>
      </c>
    </row>
    <row r="17" spans="2:5" x14ac:dyDescent="0.25">
      <c r="D17" s="58" t="s">
        <v>54</v>
      </c>
      <c r="E17" s="26">
        <f>B4</f>
        <v>9.9999999999999995E-7</v>
      </c>
    </row>
    <row r="18" spans="2:5" x14ac:dyDescent="0.25">
      <c r="D18" s="59" t="s">
        <v>55</v>
      </c>
      <c r="E18" s="26">
        <f>10*B4</f>
        <v>9.9999999999999991E-6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6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104</v>
      </c>
      <c r="C4" s="12" t="s">
        <v>17</v>
      </c>
    </row>
    <row r="5" spans="2:26" x14ac:dyDescent="0.25">
      <c r="B5" s="39" t="s">
        <v>106</v>
      </c>
      <c r="C5" s="12" t="s">
        <v>107</v>
      </c>
    </row>
    <row r="6" spans="2:26" x14ac:dyDescent="0.25">
      <c r="B6" s="39" t="s">
        <v>44</v>
      </c>
      <c r="C6" s="26" t="str">
        <f>IFERROR(IF(C5="P1",1-PRODUCT(Q15:Q34),MAX(S15:S34)),"GR")</f>
        <v>GR</v>
      </c>
    </row>
    <row r="7" spans="2:26" x14ac:dyDescent="0.25">
      <c r="B7" s="39" t="s">
        <v>38</v>
      </c>
      <c r="C7" s="26">
        <f>IF(C5="P1",1-PRODUCT(R15:R34),MAX(T15:T34))</f>
        <v>2.1279180495437089E-7</v>
      </c>
    </row>
    <row r="8" spans="2:26" x14ac:dyDescent="0.25">
      <c r="B8" s="39" t="s">
        <v>29</v>
      </c>
      <c r="C8" s="26" t="str">
        <f>IFERROR(MAX(Y15:Y34),"GR")</f>
        <v>GR</v>
      </c>
    </row>
    <row r="9" spans="2:26" x14ac:dyDescent="0.25">
      <c r="B9" s="39" t="s">
        <v>108</v>
      </c>
      <c r="C9" s="26">
        <f>MAX(Z15:Z34)</f>
        <v>1.0645848114165801E-7</v>
      </c>
    </row>
    <row r="10" spans="2:26" x14ac:dyDescent="0.25">
      <c r="B10" s="39" t="s">
        <v>36</v>
      </c>
      <c r="C10" s="26" t="str">
        <f>IFERROR(1-PRODUCT(Q15:Q34),"GR")</f>
        <v>GR</v>
      </c>
    </row>
    <row r="11" spans="2:26" ht="15.75" thickBot="1" x14ac:dyDescent="0.3">
      <c r="B11" s="40" t="s">
        <v>109</v>
      </c>
      <c r="C11" s="27">
        <f>1-PRODUCT(R15:R34)</f>
        <v>2.1279180495437089E-7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110</v>
      </c>
      <c r="Z14" s="38" t="s">
        <v>111</v>
      </c>
    </row>
    <row r="15" spans="2:26" x14ac:dyDescent="0.25">
      <c r="B15" s="3" t="s">
        <v>8</v>
      </c>
      <c r="C15" s="4">
        <v>0</v>
      </c>
      <c r="D15" s="4">
        <v>0.5</v>
      </c>
      <c r="E15" s="22" t="s">
        <v>17</v>
      </c>
      <c r="F15" s="3" t="s">
        <v>21</v>
      </c>
      <c r="G15" s="5">
        <v>6.3875088715400993E-8</v>
      </c>
      <c r="H15" s="25">
        <v>1.0645848119233497E-7</v>
      </c>
      <c r="I15" s="3" t="s">
        <v>18</v>
      </c>
      <c r="J15" s="5"/>
      <c r="K15" s="25"/>
      <c r="L15" s="29">
        <f t="shared" ref="L15:L18" si="0">IF($E15="Nee",0,IF(I15="Ja",IF(ISNUMBER(J15),J15,"-"),IF(ISNUMBER(G15),G15,"-")))</f>
        <v>6.3875088715400993E-8</v>
      </c>
      <c r="M15" s="5">
        <f t="shared" ref="M15:M18" si="1">IF($E15="Nee",0,IF(I15="Ja",IF(ISNUMBER(K15),K15,"-"),IF(ISNUMBER(H15),H15,"-")))</f>
        <v>1.0645848119233497E-7</v>
      </c>
      <c r="N15" s="6">
        <f t="shared" ref="N15:N18" si="2">IF(ISNUMBER(L15),IF(M15=0,1,M15/L15),"-")</f>
        <v>1.6666666666666665</v>
      </c>
      <c r="O15" s="30" t="str">
        <f>IF(E15="Nee","NR",IF(ISNUMBER($M15),W15,IF($X15,"D","ND")))</f>
        <v>+0</v>
      </c>
      <c r="Q15" s="31">
        <f t="shared" ref="Q15" si="3">IF(AND(F15="Geen faalkans",I15="Nee"),1,1-M15)</f>
        <v>0.99999989354151886</v>
      </c>
      <c r="R15" s="10">
        <f>IF(M15="-",1,Q15)</f>
        <v>0.99999989354151886</v>
      </c>
      <c r="S15" s="10">
        <f t="shared" ref="S15" si="4">IF(AND(F15="Geen faalkans",I15="Nee"),0,L15*$C$3)</f>
        <v>1.8459900638750886E-6</v>
      </c>
      <c r="T15" s="10">
        <f>IF(L15="-",0,S15)</f>
        <v>1.8459900638750886E-6</v>
      </c>
      <c r="U15" s="9">
        <f t="array" ref="U15">MIN(IF('Normen en duidingsklassen'!$E$13:$E$20&gt;=$M15,'Normen en duidingsklassen'!$E$13:$E$20))</f>
        <v>9.9999999999999995E-7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>IF($E15="Ja",IF($I15="Ja",NOT(ISNUMBER($J15)),FALSE),FALSE)</f>
        <v>0</v>
      </c>
      <c r="Y15" s="10">
        <f>1-Q15</f>
        <v>1.0645848114165801E-7</v>
      </c>
      <c r="Z15" s="26">
        <f>1-R15</f>
        <v>1.0645848114165801E-7</v>
      </c>
    </row>
    <row r="16" spans="2:26" x14ac:dyDescent="0.25">
      <c r="B16" s="8" t="s">
        <v>9</v>
      </c>
      <c r="C16" s="9">
        <v>0.5</v>
      </c>
      <c r="D16" s="9">
        <v>1</v>
      </c>
      <c r="E16" s="23" t="s">
        <v>17</v>
      </c>
      <c r="F16" s="8" t="s">
        <v>21</v>
      </c>
      <c r="G16" s="10">
        <v>6.3800000000000002E-8</v>
      </c>
      <c r="H16" s="26">
        <v>1.0633333333333333E-7</v>
      </c>
      <c r="I16" s="8" t="s">
        <v>18</v>
      </c>
      <c r="J16" s="10"/>
      <c r="K16" s="26"/>
      <c r="L16" s="31">
        <f t="shared" si="0"/>
        <v>6.3800000000000002E-8</v>
      </c>
      <c r="M16" s="10">
        <f t="shared" si="1"/>
        <v>1.0633333333333333E-7</v>
      </c>
      <c r="N16" s="11">
        <f t="shared" si="2"/>
        <v>1.6666666666666665</v>
      </c>
      <c r="O16" s="32" t="str">
        <f>IF(E16="Nee","NR",IF(ISNUMBER($M16),W16,IF($X16,"D","ND")))</f>
        <v>+0</v>
      </c>
      <c r="Q16" s="31">
        <f t="shared" ref="Q16:Q18" si="5">IF(AND(F16="Geen faalkans",I16="Nee"),1,1-M16)</f>
        <v>0.99999989366666664</v>
      </c>
      <c r="R16" s="10">
        <f t="shared" ref="R16:R18" si="6">IF(M16="-",1,Q16)</f>
        <v>0.99999989366666664</v>
      </c>
      <c r="S16" s="10">
        <f t="shared" ref="S16:S18" si="7">IF(AND(F16="Geen faalkans",I16="Nee"),0,L16*$C$3)</f>
        <v>1.8438199999999999E-6</v>
      </c>
      <c r="T16" s="10">
        <f t="shared" ref="T16:T18" si="8">IF(L16="-",0,S16)</f>
        <v>1.8438199999999999E-6</v>
      </c>
      <c r="U16" s="9">
        <f t="array" ref="U16">MIN(IF('Normen en duidingsklassen'!$E$13:$E$20&gt;=$M16,'Normen en duidingsklassen'!$E$13:$E$20))</f>
        <v>9.9999999999999995E-7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 t="shared" ref="X16:X18" si="9">IF($E16="Ja",IF($I16="Ja",NOT(ISNUMBER($J16)),FALSE),FALSE)</f>
        <v>0</v>
      </c>
      <c r="Y16" s="10">
        <f t="shared" ref="Y16:Y18" si="10">1-Q16</f>
        <v>1.0633333336063089E-7</v>
      </c>
      <c r="Z16" s="26">
        <f t="shared" ref="Z16:Z18" si="11">1-R16</f>
        <v>1.0633333336063089E-7</v>
      </c>
    </row>
    <row r="17" spans="2:26" x14ac:dyDescent="0.25">
      <c r="B17" s="8" t="s">
        <v>10</v>
      </c>
      <c r="C17" s="9">
        <v>1</v>
      </c>
      <c r="D17" s="9">
        <v>1.5</v>
      </c>
      <c r="E17" s="23" t="s">
        <v>17</v>
      </c>
      <c r="F17" s="8" t="s">
        <v>21</v>
      </c>
      <c r="G17" s="10">
        <v>2.9999999999999997E-5</v>
      </c>
      <c r="H17" s="26">
        <v>1.0633333333333333E-7</v>
      </c>
      <c r="I17" s="8" t="s">
        <v>17</v>
      </c>
      <c r="J17" s="10"/>
      <c r="K17" s="26"/>
      <c r="L17" s="31" t="str">
        <f t="shared" si="0"/>
        <v>-</v>
      </c>
      <c r="M17" s="10" t="str">
        <f t="shared" si="1"/>
        <v>-</v>
      </c>
      <c r="N17" s="11" t="str">
        <f t="shared" si="2"/>
        <v>-</v>
      </c>
      <c r="O17" s="32" t="str">
        <f>IF(E17="Nee","NR",IF(ISNUMBER($M17),W17,IF($X17,"D","ND")))</f>
        <v>D</v>
      </c>
      <c r="Q17" s="31" t="e">
        <f t="shared" si="5"/>
        <v>#VALUE!</v>
      </c>
      <c r="R17" s="10">
        <f t="shared" si="6"/>
        <v>1</v>
      </c>
      <c r="S17" s="10" t="e">
        <f t="shared" si="7"/>
        <v>#VALUE!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9"/>
        <v>1</v>
      </c>
      <c r="Y17" s="10" t="e">
        <f t="shared" si="10"/>
        <v>#VALUE!</v>
      </c>
      <c r="Z17" s="26">
        <f t="shared" si="11"/>
        <v>0</v>
      </c>
    </row>
    <row r="18" spans="2:26" x14ac:dyDescent="0.25">
      <c r="B18" s="8" t="s">
        <v>11</v>
      </c>
      <c r="C18" s="9">
        <v>1.5</v>
      </c>
      <c r="D18" s="9">
        <v>2.0680000000000001</v>
      </c>
      <c r="E18" s="23" t="s">
        <v>17</v>
      </c>
      <c r="F18" s="8" t="s">
        <v>21</v>
      </c>
      <c r="G18" s="10">
        <v>1.0000000000000001E-15</v>
      </c>
      <c r="H18" s="26">
        <v>1.7573333333333336E-15</v>
      </c>
      <c r="I18" s="8" t="s">
        <v>18</v>
      </c>
      <c r="J18" s="10"/>
      <c r="K18" s="26"/>
      <c r="L18" s="31">
        <f t="shared" si="0"/>
        <v>1.0000000000000001E-15</v>
      </c>
      <c r="M18" s="10">
        <f t="shared" si="1"/>
        <v>1.7573333333333336E-15</v>
      </c>
      <c r="N18" s="11">
        <f t="shared" si="2"/>
        <v>1.7573333333333334</v>
      </c>
      <c r="O18" s="32" t="str">
        <f>IF(E18="Nee","NR",IF(ISNUMBER($M18),W18,IF($X18,"D","ND")))</f>
        <v>+III</v>
      </c>
      <c r="Q18" s="31">
        <f t="shared" si="5"/>
        <v>0.99999999999999822</v>
      </c>
      <c r="R18" s="10">
        <f t="shared" si="6"/>
        <v>0.99999999999999822</v>
      </c>
      <c r="S18" s="10">
        <f t="shared" si="7"/>
        <v>2.8900000000000002E-14</v>
      </c>
      <c r="T18" s="10">
        <f t="shared" si="8"/>
        <v>2.8900000000000002E-14</v>
      </c>
      <c r="U18" s="9">
        <f t="array" ref="U18">MIN(IF('Normen en duidingsklassen'!$E$13:$E$20&gt;=$M18,'Normen en duidingsklassen'!$E$13:$E$20))</f>
        <v>1.0000000000000001E-9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9"/>
        <v>0</v>
      </c>
      <c r="Y18" s="10">
        <f t="shared" si="10"/>
        <v>1.7763568394002505E-15</v>
      </c>
      <c r="Z18" s="26">
        <f t="shared" si="11"/>
        <v>1.7763568394002505E-15</v>
      </c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topLeftCell="C1" workbookViewId="0">
      <selection activeCell="J5" sqref="J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ht="16.5" customHeight="1" x14ac:dyDescent="0.25">
      <c r="B4" s="39" t="s">
        <v>104</v>
      </c>
      <c r="C4" s="12" t="s">
        <v>17</v>
      </c>
    </row>
    <row r="5" spans="2:26" ht="16.5" customHeight="1" x14ac:dyDescent="0.25">
      <c r="B5" s="39" t="s">
        <v>106</v>
      </c>
      <c r="C5" s="12" t="s">
        <v>107</v>
      </c>
    </row>
    <row r="6" spans="2:26" x14ac:dyDescent="0.25">
      <c r="B6" s="39" t="s">
        <v>44</v>
      </c>
      <c r="C6" s="26" t="str">
        <f>IFERROR(IF(C5="P1",1-PRODUCT(Q15:Q34),MAX(S15:S34)),"GR")</f>
        <v>GR</v>
      </c>
    </row>
    <row r="7" spans="2:26" x14ac:dyDescent="0.25">
      <c r="B7" s="39" t="s">
        <v>38</v>
      </c>
      <c r="C7" s="26">
        <f>IF(C5="P1",1-PRODUCT(R15:R34),MAX(T15:T34))</f>
        <v>4.5997963771249317E-8</v>
      </c>
    </row>
    <row r="8" spans="2:26" x14ac:dyDescent="0.25">
      <c r="B8" s="39" t="s">
        <v>29</v>
      </c>
      <c r="C8" s="26" t="str">
        <f>IFERROR(MAX(Y15:Y34),"GR")</f>
        <v>GR</v>
      </c>
    </row>
    <row r="9" spans="2:26" x14ac:dyDescent="0.25">
      <c r="B9" s="39" t="s">
        <v>108</v>
      </c>
      <c r="C9" s="26">
        <f>MAX(Z15:Z34)</f>
        <v>2.3254964287566793E-8</v>
      </c>
    </row>
    <row r="10" spans="2:26" x14ac:dyDescent="0.25">
      <c r="B10" s="39" t="s">
        <v>36</v>
      </c>
      <c r="C10" s="26" t="str">
        <f>IFERROR(1-PRODUCT(Q15:Q34),"GR")</f>
        <v>GR</v>
      </c>
    </row>
    <row r="11" spans="2:26" ht="15.75" thickBot="1" x14ac:dyDescent="0.3">
      <c r="B11" s="40" t="s">
        <v>109</v>
      </c>
      <c r="C11" s="27">
        <f>1-PRODUCT(R15:R34)</f>
        <v>4.5997963771249317E-8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110</v>
      </c>
      <c r="Z14" s="38" t="s">
        <v>111</v>
      </c>
    </row>
    <row r="15" spans="2:26" x14ac:dyDescent="0.25">
      <c r="B15" s="3" t="s">
        <v>8</v>
      </c>
      <c r="C15" s="4">
        <v>0</v>
      </c>
      <c r="D15" s="4">
        <v>0.5</v>
      </c>
      <c r="E15" s="22" t="s">
        <v>17</v>
      </c>
      <c r="F15" s="3" t="s">
        <v>21</v>
      </c>
      <c r="G15" s="5">
        <v>1E-10</v>
      </c>
      <c r="H15" s="25">
        <v>1.3300000000000001E-10</v>
      </c>
      <c r="I15" s="3" t="s">
        <v>18</v>
      </c>
      <c r="J15" s="5"/>
      <c r="K15" s="25"/>
      <c r="L15" s="29">
        <f t="shared" ref="L15:L18" si="0">IF($E15="Nee",0,IF(I15="Ja",IF(ISNUMBER(J15),J15,"-"),IF(ISNUMBER(G15),G15,"-")))</f>
        <v>1E-10</v>
      </c>
      <c r="M15" s="5">
        <f t="shared" ref="M15:M18" si="1">IF($E15="Nee",0,IF(I15="Ja",IF(ISNUMBER(K15),K15,"-"),IF(ISNUMBER(H15),H15,"-")))</f>
        <v>1.3300000000000001E-10</v>
      </c>
      <c r="N15" s="6">
        <f t="shared" ref="N15:N18" si="2">IF(ISNUMBER(L15),IF(M15=0,1,M15/L15),"-")</f>
        <v>1.33</v>
      </c>
      <c r="O15" s="30" t="str">
        <f>IF(E15="Nee","NR",IF(ISNUMBER($M15),W15,IF($X15,"D","ND")))</f>
        <v>+III</v>
      </c>
      <c r="Q15" s="31">
        <f t="shared" ref="Q15:Q18" si="3">IF(AND(F15="Geen faalkans",I15="Nee"),1,1-M15)</f>
        <v>0.99999999986699994</v>
      </c>
      <c r="R15" s="10">
        <f>IF(M15="-",1,Q15)</f>
        <v>0.99999999986699994</v>
      </c>
      <c r="S15" s="10">
        <f t="shared" ref="S15:S18" si="4">IF(AND(F15="Geen faalkans",I15="Nee"),0,L15*$C$3)</f>
        <v>1.4800000000000001E-9</v>
      </c>
      <c r="T15" s="10">
        <f>IF(L15="-",0,S15)</f>
        <v>1.4800000000000001E-9</v>
      </c>
      <c r="U15" s="9">
        <f t="array" ref="U15">MIN(IF('Normen en duidingsklassen'!$E$13:$E$20&gt;=$M15,'Normen en duidingsklassen'!$E$13:$E$20))</f>
        <v>1.0000000000000001E-9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1.3300005541339033E-10</v>
      </c>
      <c r="Z15" s="26">
        <f>1-R15</f>
        <v>1.3300005541339033E-10</v>
      </c>
    </row>
    <row r="16" spans="2:26" x14ac:dyDescent="0.25">
      <c r="B16" s="8" t="s">
        <v>9</v>
      </c>
      <c r="C16" s="9">
        <v>0.5</v>
      </c>
      <c r="D16" s="9">
        <v>1</v>
      </c>
      <c r="E16" s="23" t="s">
        <v>17</v>
      </c>
      <c r="F16" s="8" t="s">
        <v>21</v>
      </c>
      <c r="G16" s="10">
        <v>1E-4</v>
      </c>
      <c r="H16" s="26">
        <v>1.3300000000000001E-10</v>
      </c>
      <c r="I16" s="8" t="s">
        <v>17</v>
      </c>
      <c r="J16" s="10"/>
      <c r="K16" s="26"/>
      <c r="L16" s="31" t="str">
        <f t="shared" si="0"/>
        <v>-</v>
      </c>
      <c r="M16" s="10" t="str">
        <f t="shared" si="1"/>
        <v>-</v>
      </c>
      <c r="N16" s="11" t="str">
        <f t="shared" si="2"/>
        <v>-</v>
      </c>
      <c r="O16" s="32" t="str">
        <f>IF(E16="Nee","NR",IF(ISNUMBER($M16),W16,IF($X16,"D","ND")))</f>
        <v>D</v>
      </c>
      <c r="Q16" s="31" t="e">
        <f t="shared" si="3"/>
        <v>#VALUE!</v>
      </c>
      <c r="R16" s="10">
        <f t="shared" ref="R16:R18" si="5">IF(M16="-",1,Q16)</f>
        <v>1</v>
      </c>
      <c r="S16" s="10" t="e">
        <f t="shared" si="4"/>
        <v>#VALUE!</v>
      </c>
      <c r="T16" s="10">
        <f t="shared" ref="T16:T18" si="6"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18" si="7">IF($E16="Ja",IF($I16="Ja",NOT(ISNUMBER($J16)),FALSE),FALSE)</f>
        <v>1</v>
      </c>
      <c r="Y16" s="10" t="e">
        <f t="shared" ref="Y16:Y18" si="8">1-Q16</f>
        <v>#VALUE!</v>
      </c>
      <c r="Z16" s="26">
        <f t="shared" ref="Z16:Z18" si="9">1-R16</f>
        <v>0</v>
      </c>
    </row>
    <row r="17" spans="2:26" x14ac:dyDescent="0.25">
      <c r="B17" s="8" t="s">
        <v>10</v>
      </c>
      <c r="C17" s="9">
        <v>1</v>
      </c>
      <c r="D17" s="9">
        <v>1.5</v>
      </c>
      <c r="E17" s="23" t="s">
        <v>17</v>
      </c>
      <c r="F17" s="8" t="s">
        <v>21</v>
      </c>
      <c r="G17" s="10">
        <v>1.7E-8</v>
      </c>
      <c r="H17" s="26">
        <v>2.2610000000000002E-8</v>
      </c>
      <c r="I17" s="8" t="s">
        <v>18</v>
      </c>
      <c r="J17" s="10"/>
      <c r="K17" s="26"/>
      <c r="L17" s="31">
        <f t="shared" si="0"/>
        <v>1.7E-8</v>
      </c>
      <c r="M17" s="10">
        <f t="shared" si="1"/>
        <v>2.2610000000000002E-8</v>
      </c>
      <c r="N17" s="11">
        <f t="shared" si="2"/>
        <v>1.33</v>
      </c>
      <c r="O17" s="32" t="str">
        <f>IF(E17="Nee","NR",IF(ISNUMBER($M17),W17,IF($X17,"D","ND")))</f>
        <v>+I</v>
      </c>
      <c r="Q17" s="31">
        <f t="shared" si="3"/>
        <v>0.99999997739000002</v>
      </c>
      <c r="R17" s="10">
        <f t="shared" si="5"/>
        <v>0.99999997739000002</v>
      </c>
      <c r="S17" s="10">
        <f t="shared" si="4"/>
        <v>2.516E-7</v>
      </c>
      <c r="T17" s="10">
        <f t="shared" si="6"/>
        <v>2.516E-7</v>
      </c>
      <c r="U17" s="9">
        <f t="array" ref="U17">MIN(IF('Normen en duidingsklassen'!$E$13:$E$20&gt;=$M17,'Normen en duidingsklassen'!$E$13:$E$20))</f>
        <v>9.9999999999999995E-8</v>
      </c>
      <c r="V17" s="9">
        <f>IFERROR(MATCH($U17,'Normen en duidingsklassen'!$E$13:$E$20,0),1)</f>
        <v>3</v>
      </c>
      <c r="W17" s="9" t="str">
        <f>INDEX('Normen en duidingsklassen'!$D$13:$D$20,V17)</f>
        <v>+I</v>
      </c>
      <c r="X17" s="9" t="b">
        <f t="shared" si="7"/>
        <v>0</v>
      </c>
      <c r="Y17" s="10">
        <f t="shared" si="8"/>
        <v>2.2609999983380646E-8</v>
      </c>
      <c r="Z17" s="26">
        <f t="shared" si="9"/>
        <v>2.2609999983380646E-8</v>
      </c>
    </row>
    <row r="18" spans="2:26" x14ac:dyDescent="0.25">
      <c r="B18" s="8" t="s">
        <v>11</v>
      </c>
      <c r="C18" s="9">
        <v>1.5</v>
      </c>
      <c r="D18" s="9">
        <v>2.0680000000000001</v>
      </c>
      <c r="E18" s="23" t="s">
        <v>17</v>
      </c>
      <c r="F18" s="8" t="s">
        <v>21</v>
      </c>
      <c r="G18" s="10">
        <v>1.6914177463549946E-8</v>
      </c>
      <c r="H18" s="26">
        <v>2.3254964311085553E-8</v>
      </c>
      <c r="I18" s="8" t="s">
        <v>18</v>
      </c>
      <c r="J18" s="10"/>
      <c r="K18" s="26"/>
      <c r="L18" s="31">
        <f t="shared" si="0"/>
        <v>1.6914177463549946E-8</v>
      </c>
      <c r="M18" s="10">
        <f t="shared" si="1"/>
        <v>2.3254964311085553E-8</v>
      </c>
      <c r="N18" s="11">
        <f t="shared" si="2"/>
        <v>1.3748800000000001</v>
      </c>
      <c r="O18" s="32" t="str">
        <f>IF(E18="Nee","NR",IF(ISNUMBER($M18),W18,IF($X18,"D","ND")))</f>
        <v>+I</v>
      </c>
      <c r="Q18" s="31">
        <f t="shared" si="3"/>
        <v>0.99999997674503571</v>
      </c>
      <c r="R18" s="10">
        <f t="shared" si="5"/>
        <v>0.99999997674503571</v>
      </c>
      <c r="S18" s="10">
        <f t="shared" si="4"/>
        <v>2.5032982646053922E-7</v>
      </c>
      <c r="T18" s="10">
        <f t="shared" si="6"/>
        <v>2.5032982646053922E-7</v>
      </c>
      <c r="U18" s="9">
        <f t="array" ref="U18">MIN(IF('Normen en duidingsklassen'!$E$13:$E$20&gt;=$M18,'Normen en duidingsklassen'!$E$13:$E$20))</f>
        <v>9.9999999999999995E-8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7"/>
        <v>0</v>
      </c>
      <c r="Y18" s="10">
        <f t="shared" si="8"/>
        <v>2.3254964287566793E-8</v>
      </c>
      <c r="Z18" s="26">
        <f t="shared" si="9"/>
        <v>2.3254964287566793E-8</v>
      </c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77"/>
  <sheetViews>
    <sheetView workbookViewId="0">
      <selection activeCell="F10" sqref="F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63</v>
      </c>
    </row>
    <row r="3" spans="2:24" x14ac:dyDescent="0.25">
      <c r="B3" s="35" t="s">
        <v>41</v>
      </c>
      <c r="C3" s="7">
        <v>2</v>
      </c>
    </row>
    <row r="4" spans="2:24" x14ac:dyDescent="0.25">
      <c r="B4" s="39" t="s">
        <v>104</v>
      </c>
      <c r="C4" s="12" t="s">
        <v>18</v>
      </c>
    </row>
    <row r="5" spans="2:24" x14ac:dyDescent="0.25">
      <c r="B5" s="39" t="s">
        <v>106</v>
      </c>
      <c r="C5" s="12" t="s">
        <v>107</v>
      </c>
    </row>
    <row r="6" spans="2:24" x14ac:dyDescent="0.25">
      <c r="B6" s="39" t="s">
        <v>44</v>
      </c>
      <c r="C6" s="26" t="str">
        <f>IFERROR(IF(C5="P1",1-PRODUCT(M15:M75),MAX(O15:O75)),"GR")</f>
        <v>GR</v>
      </c>
    </row>
    <row r="7" spans="2:24" x14ac:dyDescent="0.25">
      <c r="B7" s="39" t="s">
        <v>38</v>
      </c>
      <c r="C7" s="26">
        <f>IF(C5="P1",1-PRODUCT(N15:N75),MAX(P15:P75))</f>
        <v>1.2399999960166497E-7</v>
      </c>
    </row>
    <row r="8" spans="2:24" x14ac:dyDescent="0.25">
      <c r="B8" s="39" t="s">
        <v>29</v>
      </c>
      <c r="C8" s="26" t="str">
        <f>IFERROR(MAX(U15:U75),"GR")</f>
        <v>GR</v>
      </c>
    </row>
    <row r="9" spans="2:24" x14ac:dyDescent="0.25">
      <c r="B9" s="39" t="s">
        <v>108</v>
      </c>
      <c r="C9" s="26">
        <f>MAX(V15:V75)</f>
        <v>1.200000000478596E-7</v>
      </c>
    </row>
    <row r="10" spans="2:24" x14ac:dyDescent="0.25">
      <c r="B10" s="39" t="s">
        <v>36</v>
      </c>
      <c r="C10" s="26" t="str">
        <f>IFERROR(1-PRODUCT(M15:M75),"GR")</f>
        <v>GR</v>
      </c>
    </row>
    <row r="11" spans="2:24" ht="15.75" thickBot="1" x14ac:dyDescent="0.3">
      <c r="B11" s="40" t="s">
        <v>109</v>
      </c>
      <c r="C11" s="27">
        <f>1-PRODUCT(N15:N75)</f>
        <v>1.2399999960166497E-7</v>
      </c>
    </row>
    <row r="13" spans="2:24" ht="15.75" thickBot="1" x14ac:dyDescent="0.3">
      <c r="M13" t="s">
        <v>61</v>
      </c>
    </row>
    <row r="14" spans="2:24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110</v>
      </c>
      <c r="V14" s="38" t="s">
        <v>111</v>
      </c>
    </row>
    <row r="15" spans="2:24" x14ac:dyDescent="0.25">
      <c r="B15" s="3" t="s">
        <v>8</v>
      </c>
      <c r="C15" s="4">
        <v>0</v>
      </c>
      <c r="D15" s="4">
        <v>0.5</v>
      </c>
      <c r="E15" s="22" t="s">
        <v>17</v>
      </c>
      <c r="F15" s="3" t="s">
        <v>23</v>
      </c>
      <c r="G15" s="25">
        <v>3.1000000000000001E-5</v>
      </c>
      <c r="H15" s="3" t="s">
        <v>17</v>
      </c>
      <c r="I15" s="25">
        <v>1.1999999999999999E-7</v>
      </c>
      <c r="J15" s="5">
        <f t="shared" ref="J15:J16" si="0">IF($E15="Nee",0,IF(H15="Ja",IF(ISNUMBER(I15),I15,"-"),IF(ISNUMBER(G15),G15,"-")))</f>
        <v>1.1999999999999999E-7</v>
      </c>
      <c r="K15" s="30" t="str">
        <f>IF($E15="Nee","NR",IF(ISNUMBER($J15),S15,IF($T15,"D","ND")))</f>
        <v>+0</v>
      </c>
      <c r="M15" s="31">
        <f t="shared" ref="M15" si="1">IF(AND(F15="Geen faalkans",H15="Nee"),1,1-J15)</f>
        <v>0.99999987999999995</v>
      </c>
      <c r="N15" s="10">
        <f t="shared" ref="N15" si="2">IF(J15="-",1,M15)</f>
        <v>0.99999987999999995</v>
      </c>
      <c r="O15" s="10">
        <f t="shared" ref="O15" si="3">IF(AND(F15="Geen faalkans",H15="Nee"),0,J15*$C$3)</f>
        <v>2.3999999999999998E-7</v>
      </c>
      <c r="P15" s="10">
        <f>IF(J15="-",0,O15)</f>
        <v>2.3999999999999998E-7</v>
      </c>
      <c r="Q15" s="9">
        <f t="array" ref="Q15">MIN(IF('Normen en duidingsklassen'!$E$13:$E$20&gt;=$J15,'Normen en duidingsklassen'!$E$13:$E$20))</f>
        <v>9.9999999999999995E-7</v>
      </c>
      <c r="R15" s="9">
        <f>IFERROR(MATCH($Q15,'Normen en duidingsklassen'!$E$13:$E$20,0),1)</f>
        <v>4</v>
      </c>
      <c r="S15" s="9" t="str">
        <f>INDEX('Normen en duidingsklassen'!$D$13:$D$20,R15)</f>
        <v>+0</v>
      </c>
      <c r="T15" s="9" t="b">
        <f>IF($E15="Ja",IF($H15="Ja",NOT(ISNUMBER($I15)),FALSE),FALSE)</f>
        <v>0</v>
      </c>
      <c r="U15" s="10">
        <f>1-M15</f>
        <v>1.200000000478596E-7</v>
      </c>
      <c r="V15" s="26">
        <f t="shared" ref="V15" si="4">1-N15</f>
        <v>1.200000000478596E-7</v>
      </c>
      <c r="W15" s="1"/>
      <c r="X15" s="1"/>
    </row>
    <row r="16" spans="2:24" x14ac:dyDescent="0.25">
      <c r="B16" s="8" t="s">
        <v>9</v>
      </c>
      <c r="C16" s="9">
        <v>0.5</v>
      </c>
      <c r="D16" s="9">
        <v>1</v>
      </c>
      <c r="E16" s="23" t="s">
        <v>18</v>
      </c>
      <c r="F16" s="8" t="s">
        <v>22</v>
      </c>
      <c r="G16" s="26">
        <v>2.9999999999999997E-5</v>
      </c>
      <c r="H16" s="8" t="s">
        <v>17</v>
      </c>
      <c r="I16" s="26">
        <v>9.9999999999999995E-7</v>
      </c>
      <c r="J16" s="10">
        <f t="shared" si="0"/>
        <v>0</v>
      </c>
      <c r="K16" s="32" t="str">
        <f>IF($E16="Nee","NR",IF(ISNUMBER($J16),S16,IF($T16,"D","ND")))</f>
        <v>NR</v>
      </c>
      <c r="M16" s="31">
        <f t="shared" ref="M16:M18" si="5">IF(AND(F16="Geen faalkans",H16="Nee"),1,1-J16)</f>
        <v>1</v>
      </c>
      <c r="N16" s="10">
        <f t="shared" ref="N16:N18" si="6">IF(J16="-",1,M16)</f>
        <v>1</v>
      </c>
      <c r="O16" s="10">
        <f t="shared" ref="O16:O18" si="7">IF(AND(F16="Geen faalkans",H16="Nee"),0,J16*$C$3)</f>
        <v>0</v>
      </c>
      <c r="P16" s="10">
        <f t="shared" ref="P16:P18" si="8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18" si="9">IF($E16="Ja",IF($H16="Ja",NOT(ISNUMBER($I16)),FALSE),FALSE)</f>
        <v>0</v>
      </c>
      <c r="U16" s="10">
        <f t="shared" ref="U16:U18" si="10">1-M16</f>
        <v>0</v>
      </c>
      <c r="V16" s="26">
        <f t="shared" ref="V16:V18" si="11">1-N16</f>
        <v>0</v>
      </c>
    </row>
    <row r="17" spans="2:22" x14ac:dyDescent="0.25">
      <c r="B17" s="8" t="s">
        <v>10</v>
      </c>
      <c r="C17" s="9">
        <v>1</v>
      </c>
      <c r="D17" s="9">
        <v>1.5</v>
      </c>
      <c r="E17" s="23" t="s">
        <v>17</v>
      </c>
      <c r="F17" s="8" t="s">
        <v>23</v>
      </c>
      <c r="G17" s="26">
        <v>4.01E-9</v>
      </c>
      <c r="H17" s="8" t="s">
        <v>17</v>
      </c>
      <c r="I17" s="26"/>
      <c r="J17" s="10" t="str">
        <f>IF($E17="Nee",0,IF(H17="Ja",IF(ISNUMBER(I17),I17,"-"),IF(ISNUMBER(G17),G17,"-")))</f>
        <v>-</v>
      </c>
      <c r="K17" s="32" t="str">
        <f>IF($E17="Nee","NR",IF(ISNUMBER($J17),S17,IF($T17,"D","ND")))</f>
        <v>D</v>
      </c>
      <c r="M17" s="31" t="e">
        <f t="shared" si="5"/>
        <v>#VALUE!</v>
      </c>
      <c r="N17" s="10">
        <f t="shared" si="6"/>
        <v>1</v>
      </c>
      <c r="O17" s="10" t="e">
        <f t="shared" si="7"/>
        <v>#VALUE!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1</v>
      </c>
      <c r="U17" s="10" t="e">
        <f t="shared" si="10"/>
        <v>#VALUE!</v>
      </c>
      <c r="V17" s="26">
        <f t="shared" si="11"/>
        <v>0</v>
      </c>
    </row>
    <row r="18" spans="2:22" x14ac:dyDescent="0.25">
      <c r="B18" s="8" t="s">
        <v>11</v>
      </c>
      <c r="C18" s="9">
        <v>1.5</v>
      </c>
      <c r="D18" s="9">
        <v>2.0680000000000001</v>
      </c>
      <c r="E18" s="23" t="s">
        <v>17</v>
      </c>
      <c r="F18" s="8" t="s">
        <v>23</v>
      </c>
      <c r="G18" s="26">
        <v>1.2100000000000001E-7</v>
      </c>
      <c r="H18" s="8" t="s">
        <v>17</v>
      </c>
      <c r="I18" s="26">
        <v>3.9999999999999994E-9</v>
      </c>
      <c r="J18" s="10">
        <f t="shared" ref="J18" si="12">IF($E18="Nee",0,IF(H18="Ja",IF(ISNUMBER(I18),I18,"-"),IF(ISNUMBER(G18),G18,"-")))</f>
        <v>3.9999999999999994E-9</v>
      </c>
      <c r="K18" s="32" t="str">
        <f>IF($E18="Nee","NR",IF(ISNUMBER($J18),S18,IF($T18,"D","ND")))</f>
        <v>+II</v>
      </c>
      <c r="M18" s="31">
        <f t="shared" si="5"/>
        <v>0.999999996</v>
      </c>
      <c r="N18" s="10">
        <f t="shared" si="6"/>
        <v>0.999999996</v>
      </c>
      <c r="O18" s="10">
        <f t="shared" si="7"/>
        <v>7.9999999999999988E-9</v>
      </c>
      <c r="P18" s="10">
        <f t="shared" si="8"/>
        <v>7.9999999999999988E-9</v>
      </c>
      <c r="Q18" s="9">
        <f t="array" ref="Q18">MIN(IF('Normen en duidingsklassen'!$E$13:$E$20&gt;=$J18,'Normen en duidingsklassen'!$E$13:$E$20))</f>
        <v>1E-8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9"/>
        <v>0</v>
      </c>
      <c r="U18" s="10">
        <f t="shared" si="10"/>
        <v>3.9999999978945766E-9</v>
      </c>
      <c r="V18" s="26">
        <f t="shared" si="11"/>
        <v>3.9999999978945766E-9</v>
      </c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G9" sqref="F9:G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104</v>
      </c>
      <c r="C4" s="12" t="s">
        <v>18</v>
      </c>
    </row>
    <row r="5" spans="2:22" x14ac:dyDescent="0.25">
      <c r="B5" s="39" t="s">
        <v>106</v>
      </c>
      <c r="C5" s="12" t="s">
        <v>107</v>
      </c>
    </row>
    <row r="6" spans="2:22" x14ac:dyDescent="0.25">
      <c r="B6" s="39" t="s">
        <v>44</v>
      </c>
      <c r="C6" s="26">
        <f>IFERROR(IF(C5="P1",1-PRODUCT(M15:M15),MAX(O15:O15)),"GR")</f>
        <v>0</v>
      </c>
    </row>
    <row r="7" spans="2:22" x14ac:dyDescent="0.25">
      <c r="B7" s="39" t="s">
        <v>38</v>
      </c>
      <c r="C7" s="26">
        <f>IF(C5="P1",1-PRODUCT(N15:N15),MAX(P15:P15))</f>
        <v>0</v>
      </c>
    </row>
    <row r="8" spans="2:22" x14ac:dyDescent="0.25">
      <c r="B8" s="39" t="s">
        <v>29</v>
      </c>
      <c r="C8" s="26">
        <f>IFERROR(MAX(U15),"GR")</f>
        <v>0</v>
      </c>
    </row>
    <row r="9" spans="2:22" x14ac:dyDescent="0.25">
      <c r="B9" s="39" t="s">
        <v>108</v>
      </c>
      <c r="C9" s="26">
        <f>MAX(V15)</f>
        <v>0</v>
      </c>
    </row>
    <row r="10" spans="2:22" x14ac:dyDescent="0.25">
      <c r="B10" s="39" t="s">
        <v>36</v>
      </c>
      <c r="C10" s="26">
        <f>IFERROR(1-PRODUCT(M15),"GR")</f>
        <v>0</v>
      </c>
    </row>
    <row r="11" spans="2:22" ht="15.75" thickBot="1" x14ac:dyDescent="0.3">
      <c r="B11" s="40" t="s">
        <v>109</v>
      </c>
      <c r="C11" s="27">
        <f>1-PRODUCT(N15)</f>
        <v>0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42</v>
      </c>
      <c r="P14" s="36" t="s">
        <v>43</v>
      </c>
      <c r="Q14" s="37" t="s">
        <v>58</v>
      </c>
      <c r="R14" s="37" t="s">
        <v>59</v>
      </c>
      <c r="S14" s="4"/>
      <c r="T14" s="37" t="s">
        <v>60</v>
      </c>
      <c r="U14" s="37" t="s">
        <v>110</v>
      </c>
      <c r="V14" s="38" t="s">
        <v>111</v>
      </c>
    </row>
    <row r="15" spans="2:22" ht="15.75" thickBot="1" x14ac:dyDescent="0.3">
      <c r="B15" s="41" t="s">
        <v>8</v>
      </c>
      <c r="C15" s="42">
        <v>0</v>
      </c>
      <c r="D15" s="42">
        <v>2.0680000000000001</v>
      </c>
      <c r="E15" s="43" t="s">
        <v>18</v>
      </c>
      <c r="F15" s="41" t="s">
        <v>22</v>
      </c>
      <c r="G15" s="44"/>
      <c r="H15" s="41" t="s">
        <v>18</v>
      </c>
      <c r="I15" s="44"/>
      <c r="J15" s="45">
        <v>0</v>
      </c>
      <c r="K15" s="46" t="str">
        <f>IF($E15="Nee","NR",IF(ISNUMBER($J15),S15,IF($T15,"D","ND")))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duidingsklassen'!$E$13:$E$20&gt;$J15,'Normen en duidingsklassen'!$E$13:$E$20))</f>
        <v>1.0000000000000001E-9</v>
      </c>
      <c r="R15" s="14">
        <f>IFERROR(MATCH($Q15,'Normen en duidingsklassen'!$E$13:$E$20),1)</f>
        <v>1</v>
      </c>
      <c r="S15" s="14" t="str">
        <f>INDEX('Normen en duidingsklassen'!$D$13:$D$20,R15)</f>
        <v>+III</v>
      </c>
      <c r="T15" s="14" t="b">
        <f>IF($E15="Ja",IF($H15="Ja",NOT(ISNUMBER(#REF!)),FALSE),FALSE)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4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100</v>
      </c>
    </row>
    <row r="3" spans="2:22" x14ac:dyDescent="0.25">
      <c r="B3" s="35" t="s">
        <v>41</v>
      </c>
      <c r="C3" s="7">
        <v>3</v>
      </c>
    </row>
    <row r="4" spans="2:22" x14ac:dyDescent="0.25">
      <c r="B4" s="39" t="s">
        <v>104</v>
      </c>
      <c r="C4" s="12" t="s">
        <v>18</v>
      </c>
    </row>
    <row r="5" spans="2:22" x14ac:dyDescent="0.25">
      <c r="B5" s="39" t="s">
        <v>106</v>
      </c>
      <c r="C5" s="12" t="s">
        <v>107</v>
      </c>
    </row>
    <row r="6" spans="2:22" x14ac:dyDescent="0.25">
      <c r="B6" s="39" t="s">
        <v>44</v>
      </c>
      <c r="C6" s="26" t="str">
        <f>IFERROR(IF(C5="P1",1-PRODUCT(M15:M32),MAX(O15:O32)),"GR")</f>
        <v>GR</v>
      </c>
    </row>
    <row r="7" spans="2:22" x14ac:dyDescent="0.25">
      <c r="B7" s="39" t="s">
        <v>38</v>
      </c>
      <c r="C7" s="26">
        <f>IF(C5="P1",1-PRODUCT(N15:N32),MAX(P15:P32))</f>
        <v>7.1118888556043203E-9</v>
      </c>
      <c r="N7" s="1"/>
      <c r="P7" s="1"/>
    </row>
    <row r="8" spans="2:22" x14ac:dyDescent="0.25">
      <c r="B8" s="39" t="s">
        <v>29</v>
      </c>
      <c r="C8" s="26" t="str">
        <f>IFERROR(MAX(U15:U32),"GR")</f>
        <v>GR</v>
      </c>
    </row>
    <row r="9" spans="2:22" x14ac:dyDescent="0.25">
      <c r="B9" s="39" t="s">
        <v>108</v>
      </c>
      <c r="C9" s="26">
        <f>MAX(V15:V32)</f>
        <v>6.6666666631576277E-9</v>
      </c>
    </row>
    <row r="10" spans="2:22" x14ac:dyDescent="0.25">
      <c r="B10" s="39" t="s">
        <v>36</v>
      </c>
      <c r="C10" s="26" t="str">
        <f>IFERROR(1-PRODUCT(M15:M32),"GR")</f>
        <v>GR</v>
      </c>
    </row>
    <row r="11" spans="2:22" ht="15.75" thickBot="1" x14ac:dyDescent="0.3">
      <c r="B11" s="40" t="s">
        <v>109</v>
      </c>
      <c r="C11" s="27">
        <f>1-PRODUCT(N15:N32)</f>
        <v>7.1118888556043203E-9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110</v>
      </c>
      <c r="V14" s="38" t="s">
        <v>111</v>
      </c>
    </row>
    <row r="15" spans="2:22" x14ac:dyDescent="0.25">
      <c r="B15" s="3" t="s">
        <v>8</v>
      </c>
      <c r="C15" s="4">
        <v>0</v>
      </c>
      <c r="D15" s="4">
        <v>0.1</v>
      </c>
      <c r="E15" s="22" t="s">
        <v>17</v>
      </c>
      <c r="F15" s="8" t="s">
        <v>23</v>
      </c>
      <c r="G15" s="25"/>
      <c r="H15" s="3" t="s">
        <v>17</v>
      </c>
      <c r="I15" s="25"/>
      <c r="J15" s="5" t="str">
        <f t="shared" ref="J15:J23" si="0">IF($E15="Nee",0,IF(H15="Ja",IF(ISNUMBER(I15),I15,"-"),IF(ISNUMBER(G15),G15,"-")))</f>
        <v>-</v>
      </c>
      <c r="K15" s="30" t="str">
        <f t="shared" ref="K15:K23" si="1">IF($E15="Nee","NR",IF(ISNUMBER($J15),S15,IF($T15,"D","ND")))</f>
        <v>D</v>
      </c>
      <c r="M15" s="31" t="e">
        <f>IF(AND(F15="Geen faalkans",H15="Nee"),1,1-J15)</f>
        <v>#VALUE!</v>
      </c>
      <c r="N15" s="10">
        <f>IF(J15="-",1,M15)</f>
        <v>1</v>
      </c>
      <c r="O15" s="10" t="e">
        <f t="shared" ref="O15:O16" si="2">IF(AND(F15="Geen faalkans",H15="Nee"),0,J15*$C$3)</f>
        <v>#VALUE!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1</v>
      </c>
      <c r="U15" s="10" t="e">
        <f>1-M15</f>
        <v>#VALUE!</v>
      </c>
      <c r="V15" s="26">
        <f>1-N15</f>
        <v>0</v>
      </c>
    </row>
    <row r="16" spans="2:22" x14ac:dyDescent="0.25">
      <c r="B16" s="8" t="s">
        <v>9</v>
      </c>
      <c r="C16" s="9">
        <v>0.1</v>
      </c>
      <c r="D16" s="9">
        <v>0.5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ref="M16" si="3">IF(AND(F16="Geen faalkans",H16="Nee"),1,1-J16)</f>
        <v>1</v>
      </c>
      <c r="N16" s="10">
        <f t="shared" ref="N16" si="4">IF(J16="-",1,M16)</f>
        <v>1</v>
      </c>
      <c r="O16" s="10">
        <f t="shared" si="2"/>
        <v>0</v>
      </c>
      <c r="P16" s="10">
        <f t="shared" ref="P16:P17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3" si="6">IF($E16="Ja",IF($H16="Ja",NOT(ISNUMBER($I16)),FALSE),FALSE)</f>
        <v>0</v>
      </c>
      <c r="U16" s="10">
        <f t="shared" ref="U16:U23" si="7">1-M16</f>
        <v>0</v>
      </c>
      <c r="V16" s="26">
        <f t="shared" ref="V16:V23" si="8">1-N16</f>
        <v>0</v>
      </c>
    </row>
    <row r="17" spans="2:22" x14ac:dyDescent="0.25">
      <c r="B17" s="8" t="s">
        <v>10</v>
      </c>
      <c r="C17" s="9">
        <v>0.5</v>
      </c>
      <c r="D17" s="9">
        <v>0.6</v>
      </c>
      <c r="E17" s="23" t="s">
        <v>17</v>
      </c>
      <c r="F17" s="8" t="s">
        <v>23</v>
      </c>
      <c r="G17" s="26">
        <v>6.6666666666666668E-9</v>
      </c>
      <c r="H17" s="8" t="s">
        <v>17</v>
      </c>
      <c r="I17" s="26">
        <v>2.2222222222222221E-10</v>
      </c>
      <c r="J17" s="10">
        <f t="shared" si="0"/>
        <v>2.2222222222222221E-10</v>
      </c>
      <c r="K17" s="32" t="str">
        <f t="shared" si="1"/>
        <v>+III</v>
      </c>
      <c r="M17" s="31">
        <f t="shared" ref="M17:M23" si="9">IF(AND(F17="Geen faalkans",H17="Nee"),1,1-J17)</f>
        <v>0.99999999977777776</v>
      </c>
      <c r="N17" s="10">
        <f t="shared" ref="N17:N23" si="10">IF(J17="-",1,M17)</f>
        <v>0.99999999977777776</v>
      </c>
      <c r="O17" s="10">
        <f t="shared" ref="O17:O23" si="11">IF(AND(F17="Geen faalkans",H17="Nee"),0,J17*$C$3)</f>
        <v>6.6666666666666664E-10</v>
      </c>
      <c r="P17" s="10">
        <f t="shared" si="5"/>
        <v>6.6666666666666664E-10</v>
      </c>
      <c r="Q17" s="9">
        <f t="array" ref="Q17">MIN(IF('Normen en duidingsklassen'!$E$13:$E$20&gt;=$J17,'Normen en duidingsklassen'!$E$13:$E$20))</f>
        <v>1.0000000000000001E-9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2.2222224060897133E-10</v>
      </c>
      <c r="V17" s="26">
        <f t="shared" si="8"/>
        <v>2.2222224060897133E-10</v>
      </c>
    </row>
    <row r="18" spans="2:22" x14ac:dyDescent="0.25">
      <c r="B18" s="8" t="s">
        <v>11</v>
      </c>
      <c r="C18" s="9">
        <v>0.6</v>
      </c>
      <c r="D18" s="9">
        <v>1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ref="P18:P23" si="12">IF(J18="-",0,O18)</f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x14ac:dyDescent="0.25">
      <c r="B19" s="8" t="s">
        <v>12</v>
      </c>
      <c r="C19" s="9">
        <v>1</v>
      </c>
      <c r="D19" s="9">
        <v>1.1000000000000001</v>
      </c>
      <c r="E19" s="23" t="s">
        <v>17</v>
      </c>
      <c r="F19" s="8" t="s">
        <v>23</v>
      </c>
      <c r="G19" s="26">
        <v>9.9999999999999995E-7</v>
      </c>
      <c r="H19" s="8" t="s">
        <v>17</v>
      </c>
      <c r="I19" s="26">
        <v>2.2300000000000001E-10</v>
      </c>
      <c r="J19" s="10">
        <f t="shared" si="0"/>
        <v>2.2300000000000001E-10</v>
      </c>
      <c r="K19" s="32" t="str">
        <f t="shared" si="1"/>
        <v>+III</v>
      </c>
      <c r="M19" s="31">
        <f t="shared" si="9"/>
        <v>0.99999999977700005</v>
      </c>
      <c r="N19" s="10">
        <f t="shared" si="10"/>
        <v>0.99999999977700005</v>
      </c>
      <c r="O19" s="10">
        <f t="shared" si="11"/>
        <v>6.6900000000000007E-10</v>
      </c>
      <c r="P19" s="10">
        <f t="shared" si="12"/>
        <v>6.6900000000000007E-10</v>
      </c>
      <c r="Q19" s="9">
        <f t="array" ref="Q19">MIN(IF('Normen en duidingsklassen'!$E$13:$E$20&gt;=$J19,'Normen en duidingsklassen'!$E$13:$E$20))</f>
        <v>1.0000000000000001E-9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2.2299995183772126E-10</v>
      </c>
      <c r="V19" s="26">
        <f t="shared" si="8"/>
        <v>2.2299995183772126E-10</v>
      </c>
    </row>
    <row r="20" spans="2:22" x14ac:dyDescent="0.25">
      <c r="B20" s="8" t="s">
        <v>13</v>
      </c>
      <c r="C20" s="9">
        <v>1.1000000000000001</v>
      </c>
      <c r="D20" s="9">
        <v>1.5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NR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x14ac:dyDescent="0.25">
      <c r="B21" s="8" t="s">
        <v>14</v>
      </c>
      <c r="C21" s="9">
        <v>1.5</v>
      </c>
      <c r="D21" s="9">
        <v>1.6</v>
      </c>
      <c r="E21" s="23" t="s">
        <v>17</v>
      </c>
      <c r="F21" s="8" t="s">
        <v>23</v>
      </c>
      <c r="G21" s="26">
        <v>2.9999999999999997E-5</v>
      </c>
      <c r="H21" s="8" t="s">
        <v>17</v>
      </c>
      <c r="I21" s="26">
        <v>6.6666666666666668E-9</v>
      </c>
      <c r="J21" s="10">
        <f t="shared" si="0"/>
        <v>6.6666666666666668E-9</v>
      </c>
      <c r="K21" s="32" t="str">
        <f t="shared" si="1"/>
        <v>+II</v>
      </c>
      <c r="M21" s="31">
        <f t="shared" si="9"/>
        <v>0.99999999333333334</v>
      </c>
      <c r="N21" s="10">
        <f t="shared" si="10"/>
        <v>0.99999999333333334</v>
      </c>
      <c r="O21" s="10">
        <f t="shared" si="11"/>
        <v>2E-8</v>
      </c>
      <c r="P21" s="10">
        <f t="shared" si="12"/>
        <v>2E-8</v>
      </c>
      <c r="Q21" s="9">
        <f t="array" ref="Q21">MIN(IF('Normen en duidingsklassen'!$E$13:$E$20&gt;=$J21,'Normen en duidingsklassen'!$E$13:$E$20))</f>
        <v>1E-8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7"/>
        <v>6.6666666631576277E-9</v>
      </c>
      <c r="V21" s="26">
        <f t="shared" si="8"/>
        <v>6.6666666631576277E-9</v>
      </c>
    </row>
    <row r="22" spans="2:22" x14ac:dyDescent="0.25">
      <c r="B22" s="8" t="s">
        <v>15</v>
      </c>
      <c r="C22" s="9">
        <v>1.6</v>
      </c>
      <c r="D22" s="9">
        <v>2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NR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x14ac:dyDescent="0.25">
      <c r="B23" s="8" t="s">
        <v>16</v>
      </c>
      <c r="C23" s="9">
        <v>2</v>
      </c>
      <c r="D23" s="9">
        <v>2.0680000000000001</v>
      </c>
      <c r="E23" s="23" t="s">
        <v>17</v>
      </c>
      <c r="F23" s="8" t="s">
        <v>23</v>
      </c>
      <c r="G23" s="26"/>
      <c r="H23" s="8" t="s">
        <v>17</v>
      </c>
      <c r="I23" s="26">
        <v>0</v>
      </c>
      <c r="J23" s="10">
        <f t="shared" si="0"/>
        <v>0</v>
      </c>
      <c r="K23" s="32" t="str">
        <f t="shared" si="1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4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104</v>
      </c>
      <c r="C4" s="12" t="s">
        <v>18</v>
      </c>
    </row>
    <row r="5" spans="2:22" x14ac:dyDescent="0.25">
      <c r="B5" s="39" t="s">
        <v>106</v>
      </c>
      <c r="C5" s="12" t="s">
        <v>112</v>
      </c>
    </row>
    <row r="6" spans="2:22" x14ac:dyDescent="0.25">
      <c r="B6" s="39" t="s">
        <v>44</v>
      </c>
      <c r="C6" s="26" t="str">
        <f>IFERROR(IF(C5="P1",1-PRODUCT(M15:M32),MAX(O15:O32)),"GR")</f>
        <v>GR</v>
      </c>
    </row>
    <row r="7" spans="2:22" x14ac:dyDescent="0.25">
      <c r="B7" s="39" t="s">
        <v>38</v>
      </c>
      <c r="C7" s="26">
        <f>IF(C5="P1",1-PRODUCT(N15:N32),MAX(P15:P32))</f>
        <v>9.9999999999999995E-7</v>
      </c>
    </row>
    <row r="8" spans="2:22" x14ac:dyDescent="0.25">
      <c r="B8" s="39" t="s">
        <v>29</v>
      </c>
      <c r="C8" s="26" t="str">
        <f>IFERROR(MAX(U15:U32),"GR")</f>
        <v>GR</v>
      </c>
    </row>
    <row r="9" spans="2:22" x14ac:dyDescent="0.25">
      <c r="B9" s="39" t="s">
        <v>108</v>
      </c>
      <c r="C9" s="26">
        <f>MAX(V15:V32)</f>
        <v>1.0000000000287557E-6</v>
      </c>
    </row>
    <row r="10" spans="2:22" x14ac:dyDescent="0.25">
      <c r="B10" s="39" t="s">
        <v>36</v>
      </c>
      <c r="C10" s="26" t="str">
        <f>IFERROR(1-PRODUCT(M15:M32),"GR")</f>
        <v>GR</v>
      </c>
    </row>
    <row r="11" spans="2:22" ht="15.75" thickBot="1" x14ac:dyDescent="0.3">
      <c r="B11" s="40" t="s">
        <v>109</v>
      </c>
      <c r="C11" s="27">
        <f>1-PRODUCT(N15:N32)</f>
        <v>1.0000784312902411E-6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110</v>
      </c>
      <c r="V14" s="38" t="s">
        <v>111</v>
      </c>
    </row>
    <row r="15" spans="2:22" x14ac:dyDescent="0.25">
      <c r="B15" s="3" t="s">
        <v>8</v>
      </c>
      <c r="C15" s="4">
        <v>0</v>
      </c>
      <c r="D15" s="4">
        <v>0.1</v>
      </c>
      <c r="E15" s="22" t="s">
        <v>17</v>
      </c>
      <c r="F15" s="3" t="s">
        <v>21</v>
      </c>
      <c r="G15" s="25"/>
      <c r="H15" s="3" t="s">
        <v>17</v>
      </c>
      <c r="I15" s="25"/>
      <c r="J15" s="5" t="str">
        <f t="shared" ref="J15:J22" si="0">IF($E15="Nee",0,IF(H15="Ja",IF(ISNUMBER(I15),I15,"-"),IF(ISNUMBER(G15),G15,"-")))</f>
        <v>-</v>
      </c>
      <c r="K15" s="30" t="str">
        <f t="shared" ref="K15:K23" si="1">IF($E15="Nee","NR",IF(ISNUMBER($J15),S15,IF($T15,"D","ND")))</f>
        <v>D</v>
      </c>
      <c r="M15" s="31" t="e">
        <f t="shared" ref="M15" si="2">IF(AND(F15="Geen faalkans",H15="Nee"),1,1-J15)</f>
        <v>#VALUE!</v>
      </c>
      <c r="N15" s="10">
        <f t="shared" ref="N15" si="3">IF(J15="-",1,M15)</f>
        <v>1</v>
      </c>
      <c r="O15" s="10" t="e">
        <f t="shared" ref="O15" si="4">IF(AND(F15="Geen faalkans",H15="Nee"),0,J15*$C$3)</f>
        <v>#VALUE!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1</v>
      </c>
      <c r="U15" s="10" t="e">
        <f>1-M15</f>
        <v>#VALUE!</v>
      </c>
      <c r="V15" s="26">
        <f>1-N15</f>
        <v>0</v>
      </c>
    </row>
    <row r="16" spans="2:22" x14ac:dyDescent="0.25">
      <c r="B16" s="8" t="s">
        <v>9</v>
      </c>
      <c r="C16" s="9">
        <v>0.1</v>
      </c>
      <c r="D16" s="9">
        <v>0.5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ref="M16:M23" si="5">IF(AND(F16="Geen faalkans",H16="Nee"),1,1-J16)</f>
        <v>1</v>
      </c>
      <c r="N16" s="10">
        <f t="shared" ref="N16:N23" si="6">IF(J16="-",1,M16)</f>
        <v>1</v>
      </c>
      <c r="O16" s="10">
        <f t="shared" ref="O16:O23" si="7">IF(AND(F16="Geen faalkans",H16="Nee"),0,J16*$C$3)</f>
        <v>0</v>
      </c>
      <c r="P16" s="10">
        <f t="shared" ref="P16:P23" si="8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3" si="9">IF($E16="Ja",IF($H16="Ja",NOT(ISNUMBER($I16)),FALSE),FALSE)</f>
        <v>0</v>
      </c>
      <c r="U16" s="10">
        <f t="shared" ref="U16:U23" si="10">1-M16</f>
        <v>0</v>
      </c>
      <c r="V16" s="26">
        <f t="shared" ref="V16:V23" si="11">1-N16</f>
        <v>0</v>
      </c>
    </row>
    <row r="17" spans="2:22" x14ac:dyDescent="0.25">
      <c r="B17" s="8" t="s">
        <v>10</v>
      </c>
      <c r="C17" s="9">
        <v>0.5</v>
      </c>
      <c r="D17" s="9">
        <v>0.6</v>
      </c>
      <c r="E17" s="23" t="s">
        <v>17</v>
      </c>
      <c r="F17" s="8" t="s">
        <v>21</v>
      </c>
      <c r="G17" s="26">
        <v>7.843137254901961E-11</v>
      </c>
      <c r="H17" s="8" t="s">
        <v>18</v>
      </c>
      <c r="I17" s="26"/>
      <c r="J17" s="10">
        <f t="shared" si="0"/>
        <v>7.843137254901961E-11</v>
      </c>
      <c r="K17" s="32" t="str">
        <f t="shared" si="1"/>
        <v>+III</v>
      </c>
      <c r="M17" s="31">
        <f t="shared" si="5"/>
        <v>0.99999999992156863</v>
      </c>
      <c r="N17" s="10">
        <f t="shared" si="6"/>
        <v>0.99999999992156863</v>
      </c>
      <c r="O17" s="10">
        <f t="shared" si="7"/>
        <v>7.843137254901961E-11</v>
      </c>
      <c r="P17" s="10">
        <f t="shared" si="8"/>
        <v>7.843137254901961E-11</v>
      </c>
      <c r="Q17" s="9">
        <f t="array" ref="Q17">MIN(IF('Normen en duidingsklassen'!$E$13:$E$20&gt;=$J17,'Normen en duidingsklassen'!$E$13:$E$20))</f>
        <v>1.0000000000000001E-9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10">
        <f t="shared" si="10"/>
        <v>7.8431372507736796E-11</v>
      </c>
      <c r="V17" s="26">
        <f t="shared" si="11"/>
        <v>7.8431372507736796E-11</v>
      </c>
    </row>
    <row r="18" spans="2:22" x14ac:dyDescent="0.25">
      <c r="B18" s="8" t="s">
        <v>11</v>
      </c>
      <c r="C18" s="9">
        <v>0.6</v>
      </c>
      <c r="D18" s="9">
        <v>1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0</v>
      </c>
      <c r="V18" s="26">
        <f t="shared" si="11"/>
        <v>0</v>
      </c>
    </row>
    <row r="19" spans="2:22" x14ac:dyDescent="0.25">
      <c r="B19" s="8" t="s">
        <v>12</v>
      </c>
      <c r="C19" s="9">
        <v>1</v>
      </c>
      <c r="D19" s="9">
        <v>1.1000000000000001</v>
      </c>
      <c r="E19" s="23" t="s">
        <v>17</v>
      </c>
      <c r="F19" s="8" t="s">
        <v>21</v>
      </c>
      <c r="G19" s="26">
        <v>0</v>
      </c>
      <c r="H19" s="8" t="s">
        <v>18</v>
      </c>
      <c r="I19" s="26"/>
      <c r="J19" s="10">
        <f t="shared" si="0"/>
        <v>0</v>
      </c>
      <c r="K19" s="32" t="str">
        <f t="shared" si="1"/>
        <v>+III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13</v>
      </c>
      <c r="C20" s="9">
        <v>1.1000000000000001</v>
      </c>
      <c r="D20" s="9">
        <v>1.5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0</v>
      </c>
      <c r="V20" s="26">
        <f t="shared" si="11"/>
        <v>0</v>
      </c>
    </row>
    <row r="21" spans="2:22" x14ac:dyDescent="0.25">
      <c r="B21" s="8" t="s">
        <v>14</v>
      </c>
      <c r="C21" s="9">
        <v>1.5</v>
      </c>
      <c r="D21" s="9">
        <v>1.6</v>
      </c>
      <c r="E21" s="23" t="s">
        <v>17</v>
      </c>
      <c r="F21" s="8" t="s">
        <v>21</v>
      </c>
      <c r="G21" s="26">
        <v>1</v>
      </c>
      <c r="H21" s="8" t="s">
        <v>17</v>
      </c>
      <c r="I21" s="26">
        <v>9.9999999999999995E-7</v>
      </c>
      <c r="J21" s="10">
        <f t="shared" si="0"/>
        <v>9.9999999999999995E-7</v>
      </c>
      <c r="K21" s="32" t="str">
        <f t="shared" si="1"/>
        <v>+0</v>
      </c>
      <c r="M21" s="31">
        <f t="shared" si="5"/>
        <v>0.99999899999999997</v>
      </c>
      <c r="N21" s="10">
        <f t="shared" si="6"/>
        <v>0.99999899999999997</v>
      </c>
      <c r="O21" s="10">
        <f t="shared" si="7"/>
        <v>9.9999999999999995E-7</v>
      </c>
      <c r="P21" s="10">
        <f t="shared" si="8"/>
        <v>9.9999999999999995E-7</v>
      </c>
      <c r="Q21" s="9">
        <f t="array" ref="Q21">MIN(IF('Normen en duidingsklassen'!$E$13:$E$20&gt;=$J21,'Normen en duidingsklassen'!$E$13:$E$20))</f>
        <v>9.9999999999999995E-7</v>
      </c>
      <c r="R21" s="9">
        <f>IFERROR(MATCH($Q21,'Normen en duidingsklassen'!$E$13:$E$20,0),1)</f>
        <v>4</v>
      </c>
      <c r="S21" s="9" t="str">
        <f>INDEX('Normen en duidingsklassen'!$D$13:$D$20,R21)</f>
        <v>+0</v>
      </c>
      <c r="T21" s="9" t="b">
        <f t="shared" si="9"/>
        <v>0</v>
      </c>
      <c r="U21" s="10">
        <f t="shared" si="10"/>
        <v>1.0000000000287557E-6</v>
      </c>
      <c r="V21" s="26">
        <f t="shared" si="11"/>
        <v>1.0000000000287557E-6</v>
      </c>
    </row>
    <row r="22" spans="2:22" x14ac:dyDescent="0.25">
      <c r="B22" s="8" t="s">
        <v>15</v>
      </c>
      <c r="C22" s="9">
        <v>1.6</v>
      </c>
      <c r="D22" s="9">
        <v>2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10">
        <f t="shared" si="10"/>
        <v>0</v>
      </c>
      <c r="V22" s="26">
        <f t="shared" si="11"/>
        <v>0</v>
      </c>
    </row>
    <row r="23" spans="2:22" x14ac:dyDescent="0.25">
      <c r="B23" s="8" t="s">
        <v>16</v>
      </c>
      <c r="C23" s="9">
        <v>2</v>
      </c>
      <c r="D23" s="9">
        <v>2.0680000000000001</v>
      </c>
      <c r="E23" s="23" t="s">
        <v>17</v>
      </c>
      <c r="F23" s="8" t="s">
        <v>21</v>
      </c>
      <c r="G23" s="26">
        <v>2.3529411764705885E-9</v>
      </c>
      <c r="H23" s="8" t="s">
        <v>17</v>
      </c>
      <c r="I23" s="26">
        <v>0</v>
      </c>
      <c r="J23" s="10">
        <f>IF($E23="Nee",0,IF(H23="Ja",IF(ISNUMBER(I23),I23,"-"),IF(ISNUMBER(G23),G23,"-")))</f>
        <v>0</v>
      </c>
      <c r="K23" s="32" t="str">
        <f t="shared" si="1"/>
        <v>+III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10">
        <f t="shared" si="10"/>
        <v>0</v>
      </c>
      <c r="V23" s="26">
        <f t="shared" si="11"/>
        <v>0</v>
      </c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3"/>
  <sheetViews>
    <sheetView workbookViewId="0">
      <selection activeCell="E5" sqref="E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104</v>
      </c>
      <c r="C4" s="12" t="s">
        <v>18</v>
      </c>
    </row>
    <row r="5" spans="2:22" x14ac:dyDescent="0.25">
      <c r="B5" s="39" t="s">
        <v>106</v>
      </c>
      <c r="C5" s="12" t="s">
        <v>107</v>
      </c>
    </row>
    <row r="6" spans="2:22" x14ac:dyDescent="0.25">
      <c r="B6" s="39" t="s">
        <v>44</v>
      </c>
      <c r="C6" s="26" t="str">
        <f>IFERROR(IF(C5="P1",1-PRODUCT(M15:M31),MAX(O15:O31)),"GR")</f>
        <v>GR</v>
      </c>
    </row>
    <row r="7" spans="2:22" x14ac:dyDescent="0.25">
      <c r="B7" s="39" t="s">
        <v>38</v>
      </c>
      <c r="C7" s="26">
        <f>IF(C5="P1",1-PRODUCT(N15:N31),MAX(P15:P31))</f>
        <v>1.0039999960298474E-6</v>
      </c>
    </row>
    <row r="8" spans="2:22" x14ac:dyDescent="0.25">
      <c r="B8" s="39" t="s">
        <v>29</v>
      </c>
      <c r="C8" s="26" t="str">
        <f>IFERROR(MAX(U15:U31),"GR")</f>
        <v>GR</v>
      </c>
    </row>
    <row r="9" spans="2:22" x14ac:dyDescent="0.25">
      <c r="B9" s="39" t="s">
        <v>108</v>
      </c>
      <c r="C9" s="26">
        <f>MAX(V15:V31)</f>
        <v>1.0000000000287557E-6</v>
      </c>
    </row>
    <row r="10" spans="2:22" x14ac:dyDescent="0.25">
      <c r="B10" s="39" t="s">
        <v>36</v>
      </c>
      <c r="C10" s="26" t="str">
        <f>IFERROR(1-PRODUCT(M15:M31),"GR")</f>
        <v>GR</v>
      </c>
    </row>
    <row r="11" spans="2:22" ht="15.75" thickBot="1" x14ac:dyDescent="0.3">
      <c r="B11" s="40" t="s">
        <v>109</v>
      </c>
      <c r="C11" s="27">
        <f>1-PRODUCT(N15:N31)</f>
        <v>1.0039999960298474E-6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110</v>
      </c>
      <c r="V14" s="38" t="s">
        <v>111</v>
      </c>
    </row>
    <row r="15" spans="2:22" x14ac:dyDescent="0.25">
      <c r="B15" s="3" t="s">
        <v>8</v>
      </c>
      <c r="C15" s="4">
        <v>0</v>
      </c>
      <c r="D15" s="4">
        <v>0.1</v>
      </c>
      <c r="E15" s="22" t="s">
        <v>17</v>
      </c>
      <c r="F15" s="3" t="s">
        <v>23</v>
      </c>
      <c r="G15" s="25">
        <v>0</v>
      </c>
      <c r="H15" s="3" t="s">
        <v>18</v>
      </c>
      <c r="I15" s="25"/>
      <c r="J15" s="5">
        <f t="shared" ref="J15:J23" si="0">IF($E15="Nee",0,IF(H15="Ja",IF(ISNUMBER(I15),I15,"-"),IF(ISNUMBER(G15),G15,"-")))</f>
        <v>0</v>
      </c>
      <c r="K15" s="30" t="str">
        <f t="shared" ref="K15:K23" si="1">IF($E15="Nee","NR",IF(ISNUMBER($J15),S15,IF($T15,"D","ND")))</f>
        <v>+III</v>
      </c>
      <c r="M15" s="31">
        <f t="shared" ref="M15:M16" si="2">IF(AND(F15="Geen faalkans",H15="Nee"),1,1-J15)</f>
        <v>1</v>
      </c>
      <c r="N15" s="10">
        <f t="shared" ref="N15:N16" si="3">IF(J15="-",1,M15)</f>
        <v>1</v>
      </c>
      <c r="O15" s="10">
        <f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9</v>
      </c>
      <c r="C16" s="9">
        <v>0.1</v>
      </c>
      <c r="D16" s="9">
        <v>0.5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2"/>
        <v>1</v>
      </c>
      <c r="N16" s="10">
        <f t="shared" si="3"/>
        <v>1</v>
      </c>
      <c r="O16" s="10">
        <f t="shared" ref="O16:O17" si="4">IF(AND(F16="Geen faalkans",H16="Nee"),0,J16*$C$3)</f>
        <v>0</v>
      </c>
      <c r="P16" s="10">
        <f t="shared" ref="P16:P17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3" si="6">IF($E16="Ja",IF($H16="Ja",NOT(ISNUMBER($I16)),FALSE),FALSE)</f>
        <v>0</v>
      </c>
      <c r="U16" s="10">
        <f t="shared" ref="U16:U23" si="7">1-M16</f>
        <v>0</v>
      </c>
      <c r="V16" s="26">
        <f t="shared" ref="V16:V23" si="8">1-N16</f>
        <v>0</v>
      </c>
    </row>
    <row r="17" spans="2:22" ht="15.75" customHeight="1" x14ac:dyDescent="0.25">
      <c r="B17" s="8" t="s">
        <v>10</v>
      </c>
      <c r="C17" s="9">
        <v>0.5</v>
      </c>
      <c r="D17" s="9">
        <v>0.6</v>
      </c>
      <c r="E17" s="23" t="s">
        <v>17</v>
      </c>
      <c r="F17" s="8" t="s">
        <v>23</v>
      </c>
      <c r="G17" s="26">
        <v>2.9999999999999997E-5</v>
      </c>
      <c r="H17" s="8" t="s">
        <v>17</v>
      </c>
      <c r="I17" s="26">
        <v>4.0000000000000002E-9</v>
      </c>
      <c r="J17" s="10">
        <f t="shared" si="0"/>
        <v>4.0000000000000002E-9</v>
      </c>
      <c r="K17" s="32" t="str">
        <f t="shared" si="1"/>
        <v>+II</v>
      </c>
      <c r="M17" s="31">
        <f t="shared" ref="M17:M23" si="9">IF(AND(F17="Geen faalkans",H17="Nee"),1,1-J17)</f>
        <v>0.999999996</v>
      </c>
      <c r="N17" s="10">
        <f t="shared" ref="N17:N23" si="10">IF(J17="-",1,M17)</f>
        <v>0.999999996</v>
      </c>
      <c r="O17" s="10">
        <f t="shared" si="4"/>
        <v>8.0000000000000005E-9</v>
      </c>
      <c r="P17" s="10">
        <f t="shared" si="5"/>
        <v>8.0000000000000005E-9</v>
      </c>
      <c r="Q17" s="9">
        <f t="array" ref="Q17">MIN(IF('Normen en duidingsklassen'!$E$13:$E$20&gt;=$J17,'Normen en duidingsklassen'!$E$13:$E$20))</f>
        <v>1E-8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si="7"/>
        <v>3.9999999978945766E-9</v>
      </c>
      <c r="V17" s="26">
        <f t="shared" si="8"/>
        <v>3.9999999978945766E-9</v>
      </c>
    </row>
    <row r="18" spans="2:22" ht="15.75" customHeight="1" x14ac:dyDescent="0.25">
      <c r="B18" s="8" t="s">
        <v>11</v>
      </c>
      <c r="C18" s="9">
        <v>0.6</v>
      </c>
      <c r="D18" s="9">
        <v>1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9"/>
        <v>1</v>
      </c>
      <c r="N18" s="10">
        <f t="shared" si="10"/>
        <v>1</v>
      </c>
      <c r="O18" s="10">
        <f t="shared" ref="O18:O23" si="11">IF(AND(F18="Geen faalkans",H18="Nee"),0,J18*$C$3)</f>
        <v>0</v>
      </c>
      <c r="P18" s="10">
        <f t="shared" ref="P18:P23" si="12">IF(J18="-",0,O18)</f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ht="15.75" customHeight="1" x14ac:dyDescent="0.25">
      <c r="B19" s="8" t="s">
        <v>12</v>
      </c>
      <c r="C19" s="9">
        <v>1</v>
      </c>
      <c r="D19" s="9">
        <v>1.1000000000000001</v>
      </c>
      <c r="E19" s="23" t="s">
        <v>17</v>
      </c>
      <c r="F19" s="8" t="s">
        <v>22</v>
      </c>
      <c r="G19" s="26">
        <v>9.9999999999999995E-7</v>
      </c>
      <c r="H19" s="8" t="s">
        <v>17</v>
      </c>
      <c r="I19" s="26"/>
      <c r="J19" s="10" t="str">
        <f t="shared" si="0"/>
        <v>-</v>
      </c>
      <c r="K19" s="32" t="str">
        <f t="shared" si="1"/>
        <v>D</v>
      </c>
      <c r="M19" s="31" t="e">
        <f t="shared" si="9"/>
        <v>#VALUE!</v>
      </c>
      <c r="N19" s="10">
        <f t="shared" si="10"/>
        <v>1</v>
      </c>
      <c r="O19" s="10" t="e">
        <f t="shared" si="11"/>
        <v>#VALUE!</v>
      </c>
      <c r="P19" s="10">
        <f t="shared" si="12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1</v>
      </c>
      <c r="U19" s="10" t="e">
        <f t="shared" si="7"/>
        <v>#VALUE!</v>
      </c>
      <c r="V19" s="26">
        <f t="shared" si="8"/>
        <v>0</v>
      </c>
    </row>
    <row r="20" spans="2:22" ht="15.75" customHeight="1" x14ac:dyDescent="0.25">
      <c r="B20" s="8" t="s">
        <v>13</v>
      </c>
      <c r="C20" s="9">
        <v>1.1000000000000001</v>
      </c>
      <c r="D20" s="9">
        <v>1.5</v>
      </c>
      <c r="E20" s="23" t="s">
        <v>18</v>
      </c>
      <c r="F20" s="8" t="s">
        <v>22</v>
      </c>
      <c r="G20" s="68"/>
      <c r="H20" s="8" t="s">
        <v>18</v>
      </c>
      <c r="I20" s="26"/>
      <c r="J20" s="10">
        <f t="shared" si="0"/>
        <v>0</v>
      </c>
      <c r="K20" s="32" t="str">
        <f t="shared" si="1"/>
        <v>NR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ht="15.75" customHeight="1" x14ac:dyDescent="0.25">
      <c r="B21" s="8" t="s">
        <v>14</v>
      </c>
      <c r="C21" s="9">
        <v>1.5</v>
      </c>
      <c r="D21" s="9">
        <v>1.6</v>
      </c>
      <c r="E21" s="23" t="s">
        <v>17</v>
      </c>
      <c r="F21" s="8" t="s">
        <v>23</v>
      </c>
      <c r="G21" s="26">
        <v>1.2100000000000001E-7</v>
      </c>
      <c r="H21" s="8" t="s">
        <v>17</v>
      </c>
      <c r="I21" s="26">
        <v>9.9999999999999995E-7</v>
      </c>
      <c r="J21" s="10">
        <f t="shared" si="0"/>
        <v>9.9999999999999995E-7</v>
      </c>
      <c r="K21" s="32" t="str">
        <f t="shared" si="1"/>
        <v>+0</v>
      </c>
      <c r="M21" s="31">
        <f t="shared" si="9"/>
        <v>0.99999899999999997</v>
      </c>
      <c r="N21" s="10">
        <f t="shared" si="10"/>
        <v>0.99999899999999997</v>
      </c>
      <c r="O21" s="10">
        <f t="shared" si="11"/>
        <v>1.9999999999999999E-6</v>
      </c>
      <c r="P21" s="10">
        <f t="shared" si="12"/>
        <v>1.9999999999999999E-6</v>
      </c>
      <c r="Q21" s="9">
        <f t="array" ref="Q21">MIN(IF('Normen en duidingsklassen'!$E$13:$E$20&gt;=$J21,'Normen en duidingsklassen'!$E$13:$E$20))</f>
        <v>9.9999999999999995E-7</v>
      </c>
      <c r="R21" s="9">
        <f>IFERROR(MATCH($Q21,'Normen en duidingsklassen'!$E$13:$E$20,0),1)</f>
        <v>4</v>
      </c>
      <c r="S21" s="9" t="str">
        <f>INDEX('Normen en duidingsklassen'!$D$13:$D$20,R21)</f>
        <v>+0</v>
      </c>
      <c r="T21" s="9" t="b">
        <f t="shared" si="6"/>
        <v>0</v>
      </c>
      <c r="U21" s="10">
        <f t="shared" si="7"/>
        <v>1.0000000000287557E-6</v>
      </c>
      <c r="V21" s="26">
        <f t="shared" si="8"/>
        <v>1.0000000000287557E-6</v>
      </c>
    </row>
    <row r="22" spans="2:22" ht="15.75" customHeight="1" x14ac:dyDescent="0.25">
      <c r="B22" s="8" t="s">
        <v>15</v>
      </c>
      <c r="C22" s="9">
        <v>1.6</v>
      </c>
      <c r="D22" s="9">
        <v>2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NR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ht="15.75" customHeight="1" x14ac:dyDescent="0.25">
      <c r="B23" s="8" t="s">
        <v>16</v>
      </c>
      <c r="C23" s="9">
        <v>2</v>
      </c>
      <c r="D23" s="9">
        <v>2.0680000000000001</v>
      </c>
      <c r="E23" s="23" t="s">
        <v>17</v>
      </c>
      <c r="F23" s="8" t="s">
        <v>23</v>
      </c>
      <c r="G23" s="26"/>
      <c r="H23" s="8" t="s">
        <v>17</v>
      </c>
      <c r="I23" s="26"/>
      <c r="J23" s="10" t="str">
        <f t="shared" si="0"/>
        <v>-</v>
      </c>
      <c r="K23" s="32" t="str">
        <f t="shared" si="1"/>
        <v>D</v>
      </c>
      <c r="M23" s="31" t="e">
        <f t="shared" si="9"/>
        <v>#VALUE!</v>
      </c>
      <c r="N23" s="10">
        <f t="shared" si="10"/>
        <v>1</v>
      </c>
      <c r="O23" s="10" t="e">
        <f t="shared" si="11"/>
        <v>#VALUE!</v>
      </c>
      <c r="P23" s="10">
        <f t="shared" si="12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1</v>
      </c>
      <c r="U23" s="10" t="e">
        <f t="shared" si="7"/>
        <v>#VALUE!</v>
      </c>
      <c r="V23" s="26">
        <f t="shared" si="8"/>
        <v>0</v>
      </c>
    </row>
    <row r="24" spans="2:22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ht="15.75" customHeight="1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ht="15.75" customHeight="1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7"/>
    </row>
    <row r="32" spans="2:22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G17" sqref="G17"/>
    </sheetView>
  </sheetViews>
  <sheetFormatPr defaultRowHeight="15" x14ac:dyDescent="0.25"/>
  <cols>
    <col min="2" max="2" width="34.140625" customWidth="1"/>
    <col min="3" max="3" width="8.5703125" bestFit="1" customWidth="1"/>
    <col min="4" max="6" width="18.7109375" customWidth="1"/>
  </cols>
  <sheetData>
    <row r="2" spans="2:15" x14ac:dyDescent="0.25">
      <c r="B2" s="2" t="s">
        <v>72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71</v>
      </c>
      <c r="D3" s="1">
        <f>1-PRODUCT(O7:O13)*(1-N15)</f>
        <v>2.393899823260881E-6</v>
      </c>
      <c r="E3" t="str">
        <f>INDEX('Normen en duidingsklassen'!$D$4:$D$8,I3)</f>
        <v>C</v>
      </c>
      <c r="H3">
        <f t="array" ref="H3">MIN(IF('Normen en duidingsklassen'!$E$4:$E$8&gt;D3,'Normen en duidingsklassen'!$F$4:$F$8))</f>
        <v>9.9999999999999995E-7</v>
      </c>
      <c r="I3">
        <f>IFERROR(MATCH(H3,'Normen en duidingsklassen'!$F$4:$F$8),1)</f>
        <v>4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113</v>
      </c>
      <c r="H6" s="2" t="s">
        <v>74</v>
      </c>
      <c r="I6" s="2" t="s">
        <v>75</v>
      </c>
      <c r="J6" s="2" t="s">
        <v>117</v>
      </c>
      <c r="K6" s="2" t="s">
        <v>118</v>
      </c>
      <c r="L6" s="2" t="s">
        <v>114</v>
      </c>
      <c r="M6" s="2" t="s">
        <v>119</v>
      </c>
      <c r="N6" s="2" t="s">
        <v>115</v>
      </c>
      <c r="O6" s="2" t="s">
        <v>120</v>
      </c>
    </row>
    <row r="7" spans="2:15" x14ac:dyDescent="0.25">
      <c r="B7" s="39" t="s">
        <v>65</v>
      </c>
      <c r="C7" s="29" t="str">
        <f>STPH!C6</f>
        <v>GR</v>
      </c>
      <c r="D7" s="25">
        <f>STPH!C7</f>
        <v>2.1279180495437089E-7</v>
      </c>
      <c r="E7" s="48"/>
      <c r="F7" s="23">
        <v>0</v>
      </c>
      <c r="H7" s="1" t="e">
        <f>IF(ISNUMBER(E7),1-E7,1-C7)</f>
        <v>#VALUE!</v>
      </c>
      <c r="I7" s="1">
        <f>IF(ISNUMBER(E7),1-E7,1-D7)</f>
        <v>0.99999978720819505</v>
      </c>
      <c r="J7" s="1" t="e">
        <f>1-H7</f>
        <v>#VALUE!</v>
      </c>
      <c r="K7" s="1">
        <f>1-I7</f>
        <v>2.1279180495437089E-7</v>
      </c>
      <c r="L7" s="1" t="e">
        <f>F7*J7</f>
        <v>#VALUE!</v>
      </c>
      <c r="M7" s="1" t="e">
        <f>1-(1-F7)*J7</f>
        <v>#VALUE!</v>
      </c>
      <c r="N7" s="1">
        <f>F7*K7</f>
        <v>0</v>
      </c>
      <c r="O7" s="1">
        <f>1-(1-F7)*K7</f>
        <v>0.99999978720819505</v>
      </c>
    </row>
    <row r="8" spans="2:15" x14ac:dyDescent="0.25">
      <c r="B8" s="39" t="s">
        <v>66</v>
      </c>
      <c r="C8" s="31" t="str">
        <f>STBI!C6</f>
        <v>GR</v>
      </c>
      <c r="D8" s="26">
        <f>STBI!C7</f>
        <v>4.5997963771249317E-8</v>
      </c>
      <c r="E8" s="48"/>
      <c r="F8" s="23">
        <v>0</v>
      </c>
      <c r="H8" s="1" t="e">
        <f>IF(ISNUMBER(E8),1-E8,1-C8)</f>
        <v>#VALUE!</v>
      </c>
      <c r="I8" s="1">
        <f>IF(ISNUMBER(E8),1-E8,1-D8)</f>
        <v>0.99999995400203623</v>
      </c>
      <c r="J8" s="1" t="e">
        <f t="shared" ref="J8:K13" si="0">1-H8</f>
        <v>#VALUE!</v>
      </c>
      <c r="K8" s="1">
        <f t="shared" si="0"/>
        <v>4.5997963771249317E-8</v>
      </c>
      <c r="L8" s="1" t="e">
        <f>F8*J8</f>
        <v>#VALUE!</v>
      </c>
      <c r="M8" s="1" t="e">
        <f t="shared" ref="M8:M13" si="1">1-(1-F8)*J8</f>
        <v>#VALUE!</v>
      </c>
      <c r="N8" s="1">
        <f>F8*K8</f>
        <v>0</v>
      </c>
      <c r="O8" s="1">
        <f t="shared" ref="O8:O13" si="2">1-(1-F8)*K8</f>
        <v>0.99999995400203623</v>
      </c>
    </row>
    <row r="9" spans="2:15" x14ac:dyDescent="0.25">
      <c r="B9" s="39" t="s">
        <v>67</v>
      </c>
      <c r="C9" s="31" t="str">
        <f>GEKB!C6</f>
        <v>GR</v>
      </c>
      <c r="D9" s="26">
        <f>GEKB!C7</f>
        <v>1.2399999960166497E-7</v>
      </c>
      <c r="E9" s="48"/>
      <c r="F9" s="23">
        <v>0</v>
      </c>
      <c r="H9" s="1" t="e">
        <f>IF(ISNUMBER(E9),1-E9,1-C9)</f>
        <v>#VALUE!</v>
      </c>
      <c r="I9" s="1">
        <f>IF(ISNUMBER(E9),1-E9,1-D9)</f>
        <v>0.9999998760000004</v>
      </c>
      <c r="J9" s="1" t="e">
        <f t="shared" si="0"/>
        <v>#VALUE!</v>
      </c>
      <c r="K9" s="1">
        <f t="shared" si="0"/>
        <v>1.2399999960166497E-7</v>
      </c>
      <c r="L9" s="1" t="e">
        <f>F9*J9</f>
        <v>#VALUE!</v>
      </c>
      <c r="M9" s="1" t="e">
        <f t="shared" si="1"/>
        <v>#VALUE!</v>
      </c>
      <c r="N9" s="1">
        <f>F9*K9</f>
        <v>0</v>
      </c>
      <c r="O9" s="1">
        <f t="shared" si="2"/>
        <v>0.9999998760000004</v>
      </c>
    </row>
    <row r="10" spans="2:15" x14ac:dyDescent="0.25">
      <c r="B10" s="39" t="s">
        <v>68</v>
      </c>
      <c r="C10" s="31">
        <f>DA!C6</f>
        <v>0</v>
      </c>
      <c r="D10" s="26">
        <f>DA!C7</f>
        <v>0</v>
      </c>
      <c r="E10" s="48"/>
      <c r="F10" s="23">
        <v>0</v>
      </c>
      <c r="H10" s="1">
        <f>IF(ISNUMBER(E10),1-E10,1-C10)</f>
        <v>1</v>
      </c>
      <c r="I10" s="1">
        <f>IF(ISNUMBER(E10),1-E10,1-D10)</f>
        <v>1</v>
      </c>
      <c r="J10" s="1">
        <f t="shared" si="0"/>
        <v>0</v>
      </c>
      <c r="K10" s="1">
        <f t="shared" si="0"/>
        <v>0</v>
      </c>
      <c r="L10" s="1">
        <f>F10*J10</f>
        <v>0</v>
      </c>
      <c r="M10" s="1">
        <f t="shared" si="1"/>
        <v>1</v>
      </c>
      <c r="N10" s="1">
        <f>F10*K10</f>
        <v>0</v>
      </c>
      <c r="O10" s="1">
        <f t="shared" si="2"/>
        <v>1</v>
      </c>
    </row>
    <row r="11" spans="2:15" x14ac:dyDescent="0.25">
      <c r="B11" s="39" t="s">
        <v>69</v>
      </c>
      <c r="C11" s="31" t="str">
        <f>STKWp!C6</f>
        <v>GR</v>
      </c>
      <c r="D11" s="26">
        <f>STKWp!C7</f>
        <v>7.1118888556043203E-9</v>
      </c>
      <c r="E11" s="48"/>
      <c r="F11" s="23">
        <v>0</v>
      </c>
      <c r="H11" s="1" t="e">
        <f>IF(ISNUMBER(E11),1-E11,1-C11)</f>
        <v>#VALUE!</v>
      </c>
      <c r="I11" s="1">
        <f>IF(ISNUMBER(E11),1-E11,1-D11)</f>
        <v>0.99999999288811114</v>
      </c>
      <c r="J11" s="1" t="e">
        <f t="shared" si="0"/>
        <v>#VALUE!</v>
      </c>
      <c r="K11" s="1">
        <f t="shared" si="0"/>
        <v>7.1118888556043203E-9</v>
      </c>
      <c r="L11" s="1" t="e">
        <f>F11*J11</f>
        <v>#VALUE!</v>
      </c>
      <c r="M11" s="1" t="e">
        <f t="shared" si="1"/>
        <v>#VALUE!</v>
      </c>
      <c r="N11" s="1">
        <f>F11*K11</f>
        <v>0</v>
      </c>
      <c r="O11" s="1">
        <f t="shared" si="2"/>
        <v>0.99999999288811114</v>
      </c>
    </row>
    <row r="12" spans="2:15" x14ac:dyDescent="0.25">
      <c r="B12" s="39" t="s">
        <v>70</v>
      </c>
      <c r="C12" s="31" t="str">
        <f>HTKW!C6</f>
        <v>GR</v>
      </c>
      <c r="D12" s="26">
        <f>HTKW!C7</f>
        <v>1.0039999960298474E-6</v>
      </c>
      <c r="E12" s="48"/>
      <c r="F12" s="23">
        <v>0</v>
      </c>
      <c r="H12" s="1" t="e">
        <f>IF(ISNUMBER(E12),1-E12,1-C12)</f>
        <v>#VALUE!</v>
      </c>
      <c r="I12" s="1">
        <f>IF(ISNUMBER(E12),1-E12,1-D12)</f>
        <v>0.99999899600000397</v>
      </c>
      <c r="J12" s="1" t="e">
        <f t="shared" si="0"/>
        <v>#VALUE!</v>
      </c>
      <c r="K12" s="1">
        <f t="shared" si="0"/>
        <v>1.0039999960298474E-6</v>
      </c>
      <c r="L12" s="1" t="e">
        <f>F12*J12</f>
        <v>#VALUE!</v>
      </c>
      <c r="M12" s="1" t="e">
        <f t="shared" si="1"/>
        <v>#VALUE!</v>
      </c>
      <c r="N12" s="1">
        <f>F12*K12</f>
        <v>0</v>
      </c>
      <c r="O12" s="1">
        <f t="shared" si="2"/>
        <v>0.99999899600000397</v>
      </c>
    </row>
    <row r="13" spans="2:15" x14ac:dyDescent="0.25">
      <c r="B13" s="39" t="s">
        <v>89</v>
      </c>
      <c r="C13" s="31" t="str">
        <f>BSKW!C6</f>
        <v>GR</v>
      </c>
      <c r="D13" s="26">
        <f>BSKW!C7</f>
        <v>9.9999999999999995E-7</v>
      </c>
      <c r="E13" s="48"/>
      <c r="F13" s="23">
        <v>0</v>
      </c>
      <c r="H13" s="1" t="e">
        <f>IF(ISNUMBER(E13),1-E13,1-C13)</f>
        <v>#VALUE!</v>
      </c>
      <c r="I13" s="1">
        <f>IF(ISNUMBER(E13),1-E13,1-D13)</f>
        <v>0.99999899999999997</v>
      </c>
      <c r="J13" s="1" t="e">
        <f t="shared" si="0"/>
        <v>#VALUE!</v>
      </c>
      <c r="K13" s="1">
        <f t="shared" si="0"/>
        <v>1.0000000000287557E-6</v>
      </c>
      <c r="L13" s="1" t="e">
        <f>F13*J13</f>
        <v>#VALUE!</v>
      </c>
      <c r="M13" s="1" t="e">
        <f t="shared" si="1"/>
        <v>#VALUE!</v>
      </c>
      <c r="N13" s="1">
        <f>F13*K13</f>
        <v>0</v>
      </c>
      <c r="O13" s="1">
        <f t="shared" si="2"/>
        <v>0.99999899999999997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116</v>
      </c>
      <c r="I15" s="1"/>
      <c r="K15" s="1"/>
      <c r="L15" s="1" t="e">
        <f>MAX(L7:L13)</f>
        <v>#VALUE!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1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105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0.1</v>
      </c>
      <c r="D3" s="22" t="str">
        <f t="shared" ref="D3:D11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D</v>
      </c>
      <c r="E3" s="22" t="str">
        <f t="shared" ref="E3:E11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INDEX(STPH!$O$15:$O$34,IFERROR(MATCH(MIN(IF(STPH!$D$15:$D$34&gt;AVERAGE(B3,C3),STPH!$D$15:$D$34)),STPH!$D$15:$D$34),1))</f>
        <v>+0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INDEX(GEKB!$K$15:$K$34,IFERROR(MATCH(MIN(IF(GEKB!$D$15:$D$34&gt;AVERAGE(B3,C3),GEKB!$D$15:$D$34)),GEKB!$D$15:$D$34),1))</f>
        <v>+0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D</v>
      </c>
      <c r="K3" s="4" t="str">
        <f t="array" ref="K3">INDEX(BSKW!$K$15:$K$34,IFERROR(MATCH(MIN(IF(BSKW!$D$15:$D$34&gt;AVERAGE(B3,C3),BSKW!$D$15:$D$34)),BSKW!$D$15:$D$34),1))</f>
        <v>D</v>
      </c>
      <c r="L3" s="7" t="str">
        <f t="array" ref="L3">INDEX(HTKW!$K$15:$K$34,IFERROR(MATCH(MIN(IF(HTKW!$D$15:$D$34&gt;AVERAGE(B3,C3),HTKW!$D$15:$D$34)),HTKW!$D$15:$D$34),1))</f>
        <v>+III</v>
      </c>
    </row>
    <row r="4" spans="2:12" x14ac:dyDescent="0.25">
      <c r="B4" s="8">
        <v>0.1</v>
      </c>
      <c r="C4" s="9">
        <v>0.5</v>
      </c>
      <c r="D4" s="23" t="str">
        <f t="shared" si="0"/>
        <v>+0</v>
      </c>
      <c r="E4" s="23" t="str">
        <f t="shared" si="1"/>
        <v>+0</v>
      </c>
      <c r="F4" s="9" t="str">
        <f t="array" ref="F4">INDEX(STPH!$O$15:$O$34,IFERROR(MATCH(MIN(IF(STPH!$D$15:$D$34&gt;AVERAGE(B4,C4),STPH!$D$15:$D$34)),STPH!$D$15:$D$34),1))</f>
        <v>+0</v>
      </c>
      <c r="G4" s="9" t="str">
        <f t="array" ref="G4">INDEX(STBI!$O$15:$O$34,IFERROR(MATCH(MIN(IF(STBI!$D$15:$D$34&gt;AVERAGE(B4,C4),STBI!$D$15:$D$34)),STBI!$D$15:$D$34),1))</f>
        <v>+III</v>
      </c>
      <c r="H4" s="9" t="str">
        <f t="array" ref="H4">INDEX(GEKB!$K$15:$K$34,IFERROR(MATCH(MIN(IF(GEKB!$D$15:$D$34&gt;AVERAGE(B4,C4),GEKB!$D$15:$D$34)),GEKB!$D$15:$D$34),1))</f>
        <v>+0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NR</v>
      </c>
      <c r="K4" s="9" t="str">
        <f t="array" ref="K4">INDEX(BSKW!$K$15:$K$34,IFERROR(MATCH(MIN(IF(BSKW!$D$15:$D$34&gt;AVERAGE(B4,C4),BSKW!$D$15:$D$34)),BSKW!$D$15:$D$34),1))</f>
        <v>NR</v>
      </c>
      <c r="L4" s="12" t="str">
        <f t="array" ref="L4">INDEX(HTKW!$K$15:$K$34,IFERROR(MATCH(MIN(IF(HTKW!$D$15:$D$34&gt;AVERAGE(B4,C4),HTKW!$D$15:$D$34)),HTKW!$D$15:$D$34),1))</f>
        <v>NR</v>
      </c>
    </row>
    <row r="5" spans="2:12" x14ac:dyDescent="0.25">
      <c r="B5" s="8">
        <v>0.5</v>
      </c>
      <c r="C5" s="9">
        <v>0.6</v>
      </c>
      <c r="D5" s="23" t="str">
        <f t="shared" si="0"/>
        <v>D</v>
      </c>
      <c r="E5" s="23" t="str">
        <f t="shared" si="1"/>
        <v>+0</v>
      </c>
      <c r="F5" s="9" t="str">
        <f t="array" ref="F5">INDEX(STPH!$O$15:$O$34,IFERROR(MATCH(MIN(IF(STPH!$D$15:$D$34&gt;AVERAGE(B5,C5),STPH!$D$15:$D$34)),STPH!$D$15:$D$34),1))</f>
        <v>+0</v>
      </c>
      <c r="G5" s="9" t="str">
        <f t="array" ref="G5">INDEX(STBI!$O$15:$O$34,IFERROR(MATCH(MIN(IF(STBI!$D$15:$D$34&gt;AVERAGE(B5,C5),STBI!$D$15:$D$34)),STBI!$D$15:$D$34),1))</f>
        <v>D</v>
      </c>
      <c r="H5" s="9" t="str">
        <f t="array" ref="H5">INDEX(GEKB!$K$15:$K$34,IFERROR(MATCH(MIN(IF(GEKB!$D$15:$D$34&gt;AVERAGE(B5,C5),GEKB!$D$15:$D$34)),GEKB!$D$15:$D$34),1))</f>
        <v>NR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+III</v>
      </c>
      <c r="K5" s="9" t="str">
        <f t="array" ref="K5">INDEX(BSKW!$K$15:$K$34,IFERROR(MATCH(MIN(IF(BSKW!$D$15:$D$34&gt;AVERAGE(B5,C5),BSKW!$D$15:$D$34)),BSKW!$D$15:$D$34),1))</f>
        <v>+III</v>
      </c>
      <c r="L5" s="12" t="str">
        <f t="array" ref="L5">INDEX(HTKW!$K$15:$K$34,IFERROR(MATCH(MIN(IF(HTKW!$D$15:$D$34&gt;AVERAGE(B5,C5),HTKW!$D$15:$D$34)),HTKW!$D$15:$D$34),1))</f>
        <v>+II</v>
      </c>
    </row>
    <row r="6" spans="2:12" x14ac:dyDescent="0.25">
      <c r="B6" s="8">
        <v>0.6</v>
      </c>
      <c r="C6" s="9">
        <v>1</v>
      </c>
      <c r="D6" s="23" t="str">
        <f t="shared" si="0"/>
        <v>D</v>
      </c>
      <c r="E6" s="23" t="str">
        <f t="shared" si="1"/>
        <v>+0</v>
      </c>
      <c r="F6" s="9" t="str">
        <f t="array" ref="F6">INDEX(STPH!$O$15:$O$34,IFERROR(MATCH(MIN(IF(STPH!$D$15:$D$34&gt;AVERAGE(B6,C6),STPH!$D$15:$D$34)),STPH!$D$15:$D$34),1))</f>
        <v>+0</v>
      </c>
      <c r="G6" s="9" t="str">
        <f t="array" ref="G6">INDEX(STBI!$O$15:$O$34,IFERROR(MATCH(MIN(IF(STBI!$D$15:$D$34&gt;AVERAGE(B6,C6),STBI!$D$15:$D$34)),STBI!$D$15:$D$34),1))</f>
        <v>D</v>
      </c>
      <c r="H6" s="9" t="str">
        <f t="array" ref="H6">INDEX(GEKB!$K$15:$K$34,IFERROR(MATCH(MIN(IF(GEKB!$D$15:$D$34&gt;AVERAGE(B6,C6),GEKB!$D$15:$D$34)),GEKB!$D$15:$D$34),1))</f>
        <v>NR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NR</v>
      </c>
      <c r="K6" s="9" t="str">
        <f t="array" ref="K6">INDEX(BSKW!$K$15:$K$34,IFERROR(MATCH(MIN(IF(BSKW!$D$15:$D$34&gt;AVERAGE(B6,C6),BSKW!$D$15:$D$34)),BSKW!$D$15:$D$34),1))</f>
        <v>NR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1</v>
      </c>
      <c r="C7" s="9">
        <v>1.1000000000000001</v>
      </c>
      <c r="D7" s="23" t="str">
        <f t="shared" si="0"/>
        <v>D</v>
      </c>
      <c r="E7" s="23" t="str">
        <f t="shared" si="1"/>
        <v>+I</v>
      </c>
      <c r="F7" s="9" t="str">
        <f t="array" ref="F7">INDEX(STPH!$O$15:$O$34,IFERROR(MATCH(MIN(IF(STPH!$D$15:$D$34&gt;AVERAGE(B7,C7),STPH!$D$15:$D$34)),STPH!$D$15:$D$34),1))</f>
        <v>D</v>
      </c>
      <c r="G7" s="9" t="str">
        <f t="array" ref="G7">INDEX(STBI!$O$15:$O$34,IFERROR(MATCH(MIN(IF(STBI!$D$15:$D$34&gt;AVERAGE(B7,C7),STBI!$D$15:$D$34)),STBI!$D$15:$D$34),1))</f>
        <v>+I</v>
      </c>
      <c r="H7" s="9" t="str">
        <f t="array" ref="H7">INDEX(GEKB!$K$15:$K$34,IFERROR(MATCH(MIN(IF(GEKB!$D$15:$D$34&gt;AVERAGE(B7,C7),GEKB!$D$15:$D$34)),GEKB!$D$15:$D$34),1))</f>
        <v>D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+III</v>
      </c>
      <c r="K7" s="9" t="str">
        <f t="array" ref="K7">INDEX(BSKW!$K$15:$K$34,IFERROR(MATCH(MIN(IF(BSKW!$D$15:$D$34&gt;AVERAGE(B7,C7),BSKW!$D$15:$D$34)),BSKW!$D$15:$D$34),1))</f>
        <v>+III</v>
      </c>
      <c r="L7" s="12" t="str">
        <f t="array" ref="L7">INDEX(HTKW!$K$15:$K$34,IFERROR(MATCH(MIN(IF(HTKW!$D$15:$D$34&gt;AVERAGE(B7,C7),HTKW!$D$15:$D$34)),HTKW!$D$15:$D$34),1))</f>
        <v>D</v>
      </c>
    </row>
    <row r="8" spans="2:12" x14ac:dyDescent="0.25">
      <c r="B8" s="8">
        <v>1.1000000000000001</v>
      </c>
      <c r="C8" s="9">
        <v>1.5</v>
      </c>
      <c r="D8" s="23" t="str">
        <f t="shared" si="0"/>
        <v>D</v>
      </c>
      <c r="E8" s="23" t="str">
        <f t="shared" si="1"/>
        <v>+I</v>
      </c>
      <c r="F8" s="9" t="str">
        <f t="array" ref="F8">INDEX(STPH!$O$15:$O$34,IFERROR(MATCH(MIN(IF(STPH!$D$15:$D$34&gt;AVERAGE(B8,C8),STPH!$D$15:$D$34)),STPH!$D$15:$D$34),1))</f>
        <v>D</v>
      </c>
      <c r="G8" s="9" t="str">
        <f t="array" ref="G8">INDEX(STBI!$O$15:$O$34,IFERROR(MATCH(MIN(IF(STBI!$D$15:$D$34&gt;AVERAGE(B8,C8),STBI!$D$15:$D$34)),STBI!$D$15:$D$34),1))</f>
        <v>+I</v>
      </c>
      <c r="H8" s="9" t="str">
        <f t="array" ref="H8">INDEX(GEKB!$K$15:$K$34,IFERROR(MATCH(MIN(IF(GEKB!$D$15:$D$34&gt;AVERAGE(B8,C8),GEKB!$D$15:$D$34)),GEKB!$D$15:$D$34),1))</f>
        <v>D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NR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NR</v>
      </c>
    </row>
    <row r="9" spans="2:12" x14ac:dyDescent="0.25">
      <c r="B9" s="8">
        <v>1.5</v>
      </c>
      <c r="C9" s="9">
        <v>1.6</v>
      </c>
      <c r="D9" s="23" t="str">
        <f t="shared" si="0"/>
        <v>+0</v>
      </c>
      <c r="E9" s="23" t="str">
        <f t="shared" si="1"/>
        <v>+0</v>
      </c>
      <c r="F9" s="9" t="str">
        <f t="array" ref="F9">INDEX(STPH!$O$15:$O$34,IFERROR(MATCH(MIN(IF(STPH!$D$15:$D$34&gt;AVERAGE(B9,C9),STPH!$D$15:$D$34)),STPH!$D$15:$D$34),1))</f>
        <v>+III</v>
      </c>
      <c r="G9" s="9" t="str">
        <f t="array" ref="G9">INDEX(STBI!$O$15:$O$34,IFERROR(MATCH(MIN(IF(STBI!$D$15:$D$34&gt;AVERAGE(B9,C9),STBI!$D$15:$D$34)),STBI!$D$15:$D$34),1))</f>
        <v>+I</v>
      </c>
      <c r="H9" s="9" t="str">
        <f t="array" ref="H9">INDEX(GEKB!$K$15:$K$34,IFERROR(MATCH(MIN(IF(GEKB!$D$15:$D$34&gt;AVERAGE(B9,C9),GEKB!$D$15:$D$34)),GEKB!$D$15:$D$34),1))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+II</v>
      </c>
      <c r="K9" s="9" t="str">
        <f t="array" ref="K9">INDEX(BSKW!$K$15:$K$34,IFERROR(MATCH(MIN(IF(BSKW!$D$15:$D$34&gt;AVERAGE(B9,C9),BSKW!$D$15:$D$34)),BSKW!$D$15:$D$34),1))</f>
        <v>+0</v>
      </c>
      <c r="L9" s="12" t="str">
        <f t="array" ref="L9">INDEX(HTKW!$K$15:$K$34,IFERROR(MATCH(MIN(IF(HTKW!$D$15:$D$34&gt;AVERAGE(B9,C9),HTKW!$D$15:$D$34)),HTKW!$D$15:$D$34),1))</f>
        <v>+0</v>
      </c>
    </row>
    <row r="10" spans="2:12" x14ac:dyDescent="0.25">
      <c r="B10" s="8">
        <v>1.6</v>
      </c>
      <c r="C10" s="9">
        <v>2</v>
      </c>
      <c r="D10" s="23" t="str">
        <f t="shared" si="0"/>
        <v>+I</v>
      </c>
      <c r="E10" s="23" t="str">
        <f t="shared" si="1"/>
        <v>+I</v>
      </c>
      <c r="F10" s="9" t="str">
        <f t="array" ref="F10">INDEX(STPH!$O$15:$O$34,IFERROR(MATCH(MIN(IF(STPH!$D$15:$D$34&gt;AVERAGE(B10,C10),STPH!$D$15:$D$34)),STPH!$D$15:$D$34),1))</f>
        <v>+III</v>
      </c>
      <c r="G10" s="9" t="str">
        <f t="array" ref="G10">INDEX(STBI!$O$15:$O$34,IFERROR(MATCH(MIN(IF(STBI!$D$15:$D$34&gt;AVERAGE(B10,C10),STBI!$D$15:$D$34)),STBI!$D$15:$D$34),1))</f>
        <v>+I</v>
      </c>
      <c r="H10" s="9" t="str">
        <f t="array" ref="H10">INDEX(GEKB!$K$15:$K$34,IFERROR(MATCH(MIN(IF(GEKB!$D$15:$D$34&gt;AVERAGE(B10,C10),GEKB!$D$15:$D$34)),GEKB!$D$15:$D$34),1))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NR</v>
      </c>
      <c r="K10" s="9" t="str">
        <f t="array" ref="K10">INDEX(BSKW!$K$15:$K$34,IFERROR(MATCH(MIN(IF(BSKW!$D$15:$D$34&gt;AVERAGE(B10,C10),BSKW!$D$15:$D$34)),BSKW!$D$15:$D$34),1))</f>
        <v>NR</v>
      </c>
      <c r="L10" s="12" t="str">
        <f t="array" ref="L10">INDEX(HTKW!$K$15:$K$34,IFERROR(MATCH(MIN(IF(HTKW!$D$15:$D$34&gt;AVERAGE(B10,C10),HTKW!$D$15:$D$34)),HTKW!$D$15:$D$34),1))</f>
        <v>NR</v>
      </c>
    </row>
    <row r="11" spans="2:12" x14ac:dyDescent="0.25">
      <c r="B11" s="8">
        <v>2</v>
      </c>
      <c r="C11" s="9">
        <v>2.0680000000000001</v>
      </c>
      <c r="D11" s="23" t="str">
        <f t="shared" si="0"/>
        <v>D</v>
      </c>
      <c r="E11" s="23" t="str">
        <f t="shared" si="1"/>
        <v>+I</v>
      </c>
      <c r="F11" s="9" t="str">
        <f t="array" ref="F11">INDEX(STPH!$O$15:$O$34,IFERROR(MATCH(MIN(IF(STPH!$D$15:$D$34&gt;AVERAGE(B11,C11),STPH!$D$15:$D$34)),STPH!$D$15:$D$34),1))</f>
        <v>+III</v>
      </c>
      <c r="G11" s="9" t="str">
        <f t="array" ref="G11">INDEX(STBI!$O$15:$O$34,IFERROR(MATCH(MIN(IF(STBI!$D$15:$D$34&gt;AVERAGE(B11,C11),STBI!$D$15:$D$34)),STBI!$D$15:$D$34),1))</f>
        <v>+I</v>
      </c>
      <c r="H11" s="9" t="str">
        <f t="array" ref="H11">INDEX(GEKB!$K$15:$K$34,IFERROR(MATCH(MIN(IF(GEKB!$D$15:$D$34&gt;AVERAGE(B11,C11),GEKB!$D$15:$D$34)),GEKB!$D$15:$D$34),1))</f>
        <v>+II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+III</v>
      </c>
      <c r="K11" s="9" t="str">
        <f t="array" ref="K11">INDEX(BSKW!$K$15:$K$34,IFERROR(MATCH(MIN(IF(BSKW!$D$15:$D$34&gt;AVERAGE(B11,C11),BSKW!$D$15:$D$34)),BSKW!$D$15:$D$34),1))</f>
        <v>+III</v>
      </c>
      <c r="L11" s="12" t="str">
        <f t="array" ref="L11">INDEX(HTKW!$K$15:$K$34,IFERROR(MATCH(MIN(IF(HTKW!$D$15:$D$34&gt;AVERAGE(B11,C11),HTKW!$D$15:$D$34)),HTKW!$D$15:$D$34),1))</f>
        <v>D</v>
      </c>
    </row>
    <row r="12" spans="2:12" x14ac:dyDescent="0.25">
      <c r="B12" s="8"/>
      <c r="C12" s="9"/>
      <c r="D12" s="23"/>
      <c r="E12" s="23"/>
      <c r="F12" s="9"/>
      <c r="G12" s="9"/>
      <c r="H12" s="9"/>
      <c r="I12" s="9"/>
      <c r="J12" s="9"/>
      <c r="K12" s="9"/>
      <c r="L12" s="12"/>
    </row>
    <row r="13" spans="2:12" x14ac:dyDescent="0.25">
      <c r="B13" s="8"/>
      <c r="C13" s="9"/>
      <c r="D13" s="23"/>
      <c r="E13" s="23"/>
      <c r="F13" s="9"/>
      <c r="G13" s="9"/>
      <c r="H13" s="9"/>
      <c r="I13" s="9"/>
      <c r="J13" s="9"/>
      <c r="K13" s="9"/>
      <c r="L13" s="12"/>
    </row>
    <row r="14" spans="2:12" x14ac:dyDescent="0.25">
      <c r="B14" s="8"/>
      <c r="C14" s="9"/>
      <c r="D14" s="23"/>
      <c r="E14" s="23"/>
      <c r="F14" s="9"/>
      <c r="G14" s="9"/>
      <c r="H14" s="9"/>
      <c r="I14" s="9"/>
      <c r="J14" s="9"/>
      <c r="K14" s="9"/>
      <c r="L14" s="12"/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2023-02-23T11:03:43Z</dcterms:modified>
</cp:coreProperties>
</file>